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ikaalliansen.sharepoint.com/sites/felles-ko-ebk/Innln/Rating/Etterspurt informasjon iht distribusjonsavtale/Datainnsamling/2023-06-30/"/>
    </mc:Choice>
  </mc:AlternateContent>
  <xr:revisionPtr revIDLastSave="0" documentId="8_{8187921B-BDDD-4961-8A2C-D8473ED38293}" xr6:coauthVersionLast="47" xr6:coauthVersionMax="47" xr10:uidLastSave="{00000000-0000-0000-0000-000000000000}"/>
  <bookViews>
    <workbookView xWindow="-38520" yWindow="-120" windowWidth="38640" windowHeight="21840" xr2:uid="{91F4F4ED-12DF-4C41-B890-25E89103BF82}"/>
  </bookViews>
  <sheets>
    <sheet name="Eika and LBA-banks 1H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K53" i="1" l="1"/>
  <c r="GG53" i="1"/>
  <c r="FY53" i="1"/>
  <c r="FU53" i="1"/>
  <c r="FQ53" i="1"/>
  <c r="FA53" i="1"/>
  <c r="EZ53" i="1"/>
  <c r="EM53" i="1"/>
  <c r="EL53" i="1"/>
  <c r="EK53" i="1"/>
  <c r="EJ53" i="1"/>
  <c r="EI53" i="1"/>
  <c r="EH53" i="1"/>
  <c r="EG53" i="1"/>
  <c r="EF53" i="1"/>
  <c r="ED53" i="1"/>
  <c r="GN53" i="1" s="1"/>
  <c r="EC53" i="1"/>
  <c r="DZ53" i="1"/>
  <c r="DY53" i="1"/>
  <c r="BA53" i="1" s="1"/>
  <c r="DX53" i="1"/>
  <c r="AZ53" i="1" s="1"/>
  <c r="DU53" i="1"/>
  <c r="DT53" i="1"/>
  <c r="DR53" i="1"/>
  <c r="DQ53" i="1"/>
  <c r="DP53" i="1"/>
  <c r="DJ53" i="1"/>
  <c r="DI53" i="1"/>
  <c r="DH53" i="1"/>
  <c r="DG53" i="1"/>
  <c r="DF53" i="1"/>
  <c r="DE53" i="1"/>
  <c r="DC53" i="1"/>
  <c r="CZ53" i="1"/>
  <c r="CY53" i="1"/>
  <c r="CW53" i="1"/>
  <c r="CV53" i="1"/>
  <c r="CT53" i="1"/>
  <c r="CS53" i="1"/>
  <c r="CQ53" i="1"/>
  <c r="CP53" i="1"/>
  <c r="CO53" i="1"/>
  <c r="CN53" i="1"/>
  <c r="CL53" i="1"/>
  <c r="CK53" i="1"/>
  <c r="CI53" i="1"/>
  <c r="CH53" i="1"/>
  <c r="CE53" i="1"/>
  <c r="CD53" i="1"/>
  <c r="BL53" i="1"/>
  <c r="BI53" i="1"/>
  <c r="BD53" i="1"/>
  <c r="BB53" i="1"/>
  <c r="W53" i="1"/>
  <c r="U53" i="1"/>
  <c r="T53" i="1"/>
  <c r="S53" i="1"/>
  <c r="Q53" i="1"/>
  <c r="M53" i="1"/>
  <c r="L53" i="1"/>
  <c r="AA53" i="1" s="1"/>
  <c r="K53" i="1"/>
  <c r="I53" i="1"/>
  <c r="H53" i="1"/>
  <c r="G53" i="1"/>
  <c r="F53" i="1"/>
  <c r="E53" i="1"/>
  <c r="D53" i="1"/>
  <c r="AE53" i="1" s="1"/>
  <c r="C53" i="1"/>
  <c r="GN52" i="1"/>
  <c r="GL52" i="1"/>
  <c r="GJ52" i="1" s="1"/>
  <c r="GH52" i="1"/>
  <c r="GF52" i="1" s="1"/>
  <c r="GC52" i="1"/>
  <c r="FZ52" i="1"/>
  <c r="FX52" i="1" s="1"/>
  <c r="FR52" i="1"/>
  <c r="FP52" i="1"/>
  <c r="FN52" i="1"/>
  <c r="FI52" i="1"/>
  <c r="FH52" i="1"/>
  <c r="FJ52" i="1" s="1"/>
  <c r="FE52" i="1"/>
  <c r="FD52" i="1"/>
  <c r="FB52" i="1"/>
  <c r="EN52" i="1"/>
  <c r="EU52" i="1" s="1"/>
  <c r="EB52" i="1"/>
  <c r="DK52" i="1"/>
  <c r="DL52" i="1" s="1"/>
  <c r="CX52" i="1"/>
  <c r="DA52" i="1" s="1"/>
  <c r="AT52" i="1" s="1"/>
  <c r="CU52" i="1"/>
  <c r="CM52" i="1"/>
  <c r="CG52" i="1"/>
  <c r="FV52" i="1" s="1"/>
  <c r="FT52" i="1" s="1"/>
  <c r="BW52" i="1" s="1"/>
  <c r="CF52" i="1"/>
  <c r="CA52" i="1"/>
  <c r="CB52" i="1" s="1"/>
  <c r="BB52" i="1"/>
  <c r="BA52" i="1"/>
  <c r="AZ52" i="1"/>
  <c r="AX52" i="1"/>
  <c r="AS52" i="1"/>
  <c r="AQ52" i="1"/>
  <c r="AP52" i="1"/>
  <c r="AN52" i="1"/>
  <c r="AE52" i="1"/>
  <c r="AC52" i="1"/>
  <c r="AA52" i="1"/>
  <c r="Z52" i="1"/>
  <c r="N52" i="1"/>
  <c r="P52" i="1" s="1"/>
  <c r="GN51" i="1"/>
  <c r="GL51" i="1"/>
  <c r="GJ51" i="1" s="1"/>
  <c r="GH51" i="1"/>
  <c r="GF51" i="1"/>
  <c r="GC51" i="1"/>
  <c r="FZ51" i="1"/>
  <c r="FX51" i="1" s="1"/>
  <c r="FR51" i="1"/>
  <c r="FP51" i="1" s="1"/>
  <c r="FN51" i="1"/>
  <c r="FI51" i="1"/>
  <c r="FH51" i="1"/>
  <c r="FE51" i="1"/>
  <c r="FD51" i="1"/>
  <c r="FB51" i="1"/>
  <c r="BY51" i="1" s="1"/>
  <c r="EN51" i="1"/>
  <c r="EW51" i="1" s="1"/>
  <c r="EB51" i="1"/>
  <c r="DM51" i="1"/>
  <c r="DK51" i="1"/>
  <c r="DL51" i="1" s="1"/>
  <c r="CX51" i="1"/>
  <c r="CU51" i="1"/>
  <c r="CM51" i="1"/>
  <c r="CG51" i="1"/>
  <c r="CF51" i="1"/>
  <c r="BU51" i="1"/>
  <c r="BR51" i="1"/>
  <c r="BO51" i="1"/>
  <c r="BB51" i="1"/>
  <c r="BA51" i="1"/>
  <c r="AZ51" i="1"/>
  <c r="AS51" i="1"/>
  <c r="AQ51" i="1"/>
  <c r="AP51" i="1"/>
  <c r="AN51" i="1"/>
  <c r="AE51" i="1"/>
  <c r="AA51" i="1"/>
  <c r="Z51" i="1"/>
  <c r="N51" i="1"/>
  <c r="GN50" i="1"/>
  <c r="GL50" i="1"/>
  <c r="GJ50" i="1" s="1"/>
  <c r="GH50" i="1"/>
  <c r="GF50" i="1" s="1"/>
  <c r="GC50" i="1"/>
  <c r="FZ50" i="1"/>
  <c r="FX50" i="1" s="1"/>
  <c r="FR50" i="1"/>
  <c r="FP50" i="1" s="1"/>
  <c r="FN50" i="1"/>
  <c r="FI50" i="1"/>
  <c r="FH50" i="1"/>
  <c r="FJ50" i="1" s="1"/>
  <c r="CA50" i="1" s="1"/>
  <c r="CB50" i="1" s="1"/>
  <c r="FE50" i="1"/>
  <c r="FD50" i="1"/>
  <c r="FB50" i="1"/>
  <c r="EN50" i="1"/>
  <c r="EB50" i="1"/>
  <c r="DM50" i="1"/>
  <c r="DK50" i="1"/>
  <c r="DL50" i="1" s="1"/>
  <c r="CX50" i="1"/>
  <c r="DA50" i="1" s="1"/>
  <c r="AT50" i="1" s="1"/>
  <c r="CU50" i="1"/>
  <c r="CM50" i="1"/>
  <c r="CG50" i="1"/>
  <c r="FV50" i="1" s="1"/>
  <c r="FT50" i="1" s="1"/>
  <c r="BW50" i="1" s="1"/>
  <c r="CF50" i="1"/>
  <c r="BB50" i="1"/>
  <c r="BA50" i="1"/>
  <c r="AZ50" i="1"/>
  <c r="AX50" i="1"/>
  <c r="AS50" i="1"/>
  <c r="AQ50" i="1"/>
  <c r="AP50" i="1"/>
  <c r="AN50" i="1"/>
  <c r="AE50" i="1"/>
  <c r="AD50" i="1"/>
  <c r="AC50" i="1"/>
  <c r="AA50" i="1"/>
  <c r="Z50" i="1"/>
  <c r="N50" i="1"/>
  <c r="P50" i="1" s="1"/>
  <c r="GN49" i="1"/>
  <c r="GL49" i="1"/>
  <c r="GJ49" i="1" s="1"/>
  <c r="GH49" i="1"/>
  <c r="GC49" i="1"/>
  <c r="FZ49" i="1"/>
  <c r="FX49" i="1"/>
  <c r="FR49" i="1"/>
  <c r="AX49" i="1" s="1"/>
  <c r="FP49" i="1"/>
  <c r="FN49" i="1"/>
  <c r="FJ49" i="1"/>
  <c r="FI49" i="1"/>
  <c r="FH49" i="1"/>
  <c r="FE49" i="1"/>
  <c r="FF49" i="1" s="1"/>
  <c r="FD49" i="1"/>
  <c r="FB49" i="1"/>
  <c r="EQ49" i="1"/>
  <c r="EN49" i="1"/>
  <c r="EV49" i="1" s="1"/>
  <c r="EB49" i="1"/>
  <c r="DK49" i="1"/>
  <c r="DM49" i="1" s="1"/>
  <c r="CX49" i="1"/>
  <c r="CU49" i="1"/>
  <c r="DA49" i="1" s="1"/>
  <c r="AT49" i="1" s="1"/>
  <c r="CR49" i="1"/>
  <c r="AR49" i="1" s="1"/>
  <c r="CM49" i="1"/>
  <c r="CJ49" i="1"/>
  <c r="CG49" i="1"/>
  <c r="FV49" i="1" s="1"/>
  <c r="FT49" i="1" s="1"/>
  <c r="BW49" i="1" s="1"/>
  <c r="CF49" i="1"/>
  <c r="BY49" i="1"/>
  <c r="BB49" i="1"/>
  <c r="BA49" i="1"/>
  <c r="AZ49" i="1"/>
  <c r="AS49" i="1"/>
  <c r="AQ49" i="1"/>
  <c r="AP49" i="1"/>
  <c r="AE49" i="1"/>
  <c r="AA49" i="1"/>
  <c r="Z49" i="1"/>
  <c r="N49" i="1"/>
  <c r="GN48" i="1"/>
  <c r="GL48" i="1"/>
  <c r="GJ48" i="1" s="1"/>
  <c r="GH48" i="1"/>
  <c r="GF48" i="1"/>
  <c r="GC48" i="1"/>
  <c r="FZ48" i="1"/>
  <c r="FX48" i="1" s="1"/>
  <c r="FR48" i="1"/>
  <c r="FP48" i="1" s="1"/>
  <c r="FN48" i="1"/>
  <c r="FI48" i="1"/>
  <c r="FH48" i="1"/>
  <c r="FJ48" i="1" s="1"/>
  <c r="FE48" i="1"/>
  <c r="FD48" i="1"/>
  <c r="FB48" i="1"/>
  <c r="EN48" i="1"/>
  <c r="EB48" i="1"/>
  <c r="DK48" i="1"/>
  <c r="DL48" i="1" s="1"/>
  <c r="CX48" i="1"/>
  <c r="CU48" i="1"/>
  <c r="CM48" i="1"/>
  <c r="CJ48" i="1"/>
  <c r="CG48" i="1"/>
  <c r="FV48" i="1" s="1"/>
  <c r="FT48" i="1" s="1"/>
  <c r="BW48" i="1" s="1"/>
  <c r="CF48" i="1"/>
  <c r="CA48" i="1"/>
  <c r="CB48" i="1" s="1"/>
  <c r="BY48" i="1"/>
  <c r="BU48" i="1"/>
  <c r="BR48" i="1"/>
  <c r="BO48" i="1"/>
  <c r="BB48" i="1"/>
  <c r="BA48" i="1"/>
  <c r="AZ48" i="1"/>
  <c r="AS48" i="1"/>
  <c r="AQ48" i="1"/>
  <c r="AP48" i="1"/>
  <c r="AN48" i="1"/>
  <c r="AE48" i="1"/>
  <c r="AA48" i="1"/>
  <c r="Z48" i="1"/>
  <c r="N48" i="1"/>
  <c r="GN47" i="1"/>
  <c r="GL47" i="1"/>
  <c r="GJ47" i="1" s="1"/>
  <c r="GH47" i="1"/>
  <c r="GF47" i="1"/>
  <c r="GC47" i="1"/>
  <c r="FZ47" i="1"/>
  <c r="FX47" i="1" s="1"/>
  <c r="FV47" i="1"/>
  <c r="FT47" i="1" s="1"/>
  <c r="BW47" i="1" s="1"/>
  <c r="FR47" i="1"/>
  <c r="FN47" i="1"/>
  <c r="FI47" i="1"/>
  <c r="FH47" i="1"/>
  <c r="FE47" i="1"/>
  <c r="FD47" i="1"/>
  <c r="FB47" i="1"/>
  <c r="EW47" i="1"/>
  <c r="EV47" i="1"/>
  <c r="EU47" i="1"/>
  <c r="ET47" i="1"/>
  <c r="ES47" i="1"/>
  <c r="ER47" i="1"/>
  <c r="EN47" i="1"/>
  <c r="EQ47" i="1" s="1"/>
  <c r="EB47" i="1"/>
  <c r="DL47" i="1"/>
  <c r="DK47" i="1"/>
  <c r="DM47" i="1" s="1"/>
  <c r="CX47" i="1"/>
  <c r="CU47" i="1"/>
  <c r="CM47" i="1"/>
  <c r="CG47" i="1"/>
  <c r="CJ47" i="1" s="1"/>
  <c r="CF47" i="1"/>
  <c r="BY47" i="1"/>
  <c r="BU47" i="1"/>
  <c r="BR47" i="1"/>
  <c r="BO47" i="1"/>
  <c r="BB47" i="1"/>
  <c r="BA47" i="1"/>
  <c r="AZ47" i="1"/>
  <c r="AS47" i="1"/>
  <c r="AQ47" i="1"/>
  <c r="AP47" i="1"/>
  <c r="AN47" i="1"/>
  <c r="AE47" i="1"/>
  <c r="AC47" i="1"/>
  <c r="AA47" i="1"/>
  <c r="Z47" i="1"/>
  <c r="N47" i="1"/>
  <c r="P47" i="1" s="1"/>
  <c r="GN46" i="1"/>
  <c r="GL46" i="1"/>
  <c r="GJ46" i="1" s="1"/>
  <c r="GH46" i="1"/>
  <c r="GC46" i="1"/>
  <c r="FZ46" i="1"/>
  <c r="FX46" i="1" s="1"/>
  <c r="FR46" i="1"/>
  <c r="FP46" i="1" s="1"/>
  <c r="FN46" i="1"/>
  <c r="FI46" i="1"/>
  <c r="FH46" i="1"/>
  <c r="FE46" i="1"/>
  <c r="FF46" i="1" s="1"/>
  <c r="FD46" i="1"/>
  <c r="FB46" i="1"/>
  <c r="EQ46" i="1"/>
  <c r="EN46" i="1"/>
  <c r="EV46" i="1" s="1"/>
  <c r="EB46" i="1"/>
  <c r="DK46" i="1"/>
  <c r="DM46" i="1" s="1"/>
  <c r="CX46" i="1"/>
  <c r="CU46" i="1"/>
  <c r="CM46" i="1"/>
  <c r="CJ46" i="1"/>
  <c r="CG46" i="1"/>
  <c r="FV46" i="1" s="1"/>
  <c r="FT46" i="1" s="1"/>
  <c r="CF46" i="1"/>
  <c r="BY46" i="1"/>
  <c r="BW46" i="1"/>
  <c r="BB46" i="1"/>
  <c r="BA46" i="1"/>
  <c r="AZ46" i="1"/>
  <c r="AS46" i="1"/>
  <c r="AQ46" i="1"/>
  <c r="AP46" i="1"/>
  <c r="AE46" i="1"/>
  <c r="AA46" i="1"/>
  <c r="Z46" i="1"/>
  <c r="N46" i="1"/>
  <c r="GN45" i="1"/>
  <c r="GL45" i="1"/>
  <c r="GJ45" i="1" s="1"/>
  <c r="GH45" i="1"/>
  <c r="GF45" i="1" s="1"/>
  <c r="GC45" i="1"/>
  <c r="FZ45" i="1"/>
  <c r="FX45" i="1" s="1"/>
  <c r="FR45" i="1"/>
  <c r="FP45" i="1" s="1"/>
  <c r="FN45" i="1"/>
  <c r="FI45" i="1"/>
  <c r="FH45" i="1"/>
  <c r="FJ45" i="1" s="1"/>
  <c r="FE45" i="1"/>
  <c r="FD45" i="1"/>
  <c r="FF45" i="1" s="1"/>
  <c r="FB45" i="1"/>
  <c r="EN45" i="1"/>
  <c r="EW45" i="1" s="1"/>
  <c r="EB45" i="1"/>
  <c r="DK45" i="1"/>
  <c r="CX45" i="1"/>
  <c r="DA45" i="1" s="1"/>
  <c r="AT45" i="1" s="1"/>
  <c r="CU45" i="1"/>
  <c r="CM45" i="1"/>
  <c r="CG45" i="1"/>
  <c r="FV45" i="1" s="1"/>
  <c r="FT45" i="1" s="1"/>
  <c r="BW45" i="1" s="1"/>
  <c r="CF45" i="1"/>
  <c r="CA45" i="1"/>
  <c r="CB45" i="1" s="1"/>
  <c r="BY45" i="1"/>
  <c r="BU45" i="1"/>
  <c r="BK45" i="1"/>
  <c r="BR45" i="1" s="1"/>
  <c r="BJ45" i="1"/>
  <c r="BO45" i="1" s="1"/>
  <c r="BB45" i="1"/>
  <c r="BA45" i="1"/>
  <c r="AZ45" i="1"/>
  <c r="AS45" i="1"/>
  <c r="AQ45" i="1"/>
  <c r="AP45" i="1"/>
  <c r="AE45" i="1"/>
  <c r="AD45" i="1"/>
  <c r="AA45" i="1"/>
  <c r="Z45" i="1"/>
  <c r="P45" i="1"/>
  <c r="BX45" i="1" s="1"/>
  <c r="N45" i="1"/>
  <c r="AC45" i="1" s="1"/>
  <c r="GN44" i="1"/>
  <c r="GL44" i="1"/>
  <c r="GJ44" i="1" s="1"/>
  <c r="GH44" i="1"/>
  <c r="GF44" i="1" s="1"/>
  <c r="GC44" i="1"/>
  <c r="FZ44" i="1"/>
  <c r="FX44" i="1"/>
  <c r="FV44" i="1"/>
  <c r="FT44" i="1"/>
  <c r="BW44" i="1" s="1"/>
  <c r="FR44" i="1"/>
  <c r="FP44" i="1"/>
  <c r="FN44" i="1"/>
  <c r="FJ44" i="1"/>
  <c r="FI44" i="1"/>
  <c r="FH44" i="1"/>
  <c r="FE44" i="1"/>
  <c r="FD44" i="1"/>
  <c r="FF44" i="1" s="1"/>
  <c r="FB44" i="1"/>
  <c r="BY44" i="1" s="1"/>
  <c r="EN44" i="1"/>
  <c r="ES44" i="1" s="1"/>
  <c r="EB44" i="1"/>
  <c r="DK44" i="1"/>
  <c r="DM44" i="1" s="1"/>
  <c r="CX44" i="1"/>
  <c r="DA44" i="1" s="1"/>
  <c r="AT44" i="1" s="1"/>
  <c r="CU44" i="1"/>
  <c r="CM44" i="1"/>
  <c r="CG44" i="1"/>
  <c r="CJ44" i="1" s="1"/>
  <c r="CF44" i="1"/>
  <c r="CA44" i="1"/>
  <c r="CB44" i="1" s="1"/>
  <c r="BZ44" i="1"/>
  <c r="BU44" i="1"/>
  <c r="BR44" i="1"/>
  <c r="BO44" i="1"/>
  <c r="BB44" i="1"/>
  <c r="BA44" i="1"/>
  <c r="AZ44" i="1"/>
  <c r="AX44" i="1"/>
  <c r="AS44" i="1"/>
  <c r="AQ44" i="1"/>
  <c r="AP44" i="1"/>
  <c r="AE44" i="1"/>
  <c r="AD44" i="1"/>
  <c r="AA44" i="1"/>
  <c r="Z44" i="1"/>
  <c r="P44" i="1"/>
  <c r="R44" i="1" s="1"/>
  <c r="N44" i="1"/>
  <c r="AC44" i="1" s="1"/>
  <c r="GN43" i="1"/>
  <c r="GL43" i="1"/>
  <c r="GJ43" i="1" s="1"/>
  <c r="GH43" i="1"/>
  <c r="GF43" i="1"/>
  <c r="GC43" i="1"/>
  <c r="FZ43" i="1"/>
  <c r="FX43" i="1" s="1"/>
  <c r="FV43" i="1"/>
  <c r="FT43" i="1" s="1"/>
  <c r="BW43" i="1" s="1"/>
  <c r="FR43" i="1"/>
  <c r="FP43" i="1"/>
  <c r="FN43" i="1"/>
  <c r="FI43" i="1"/>
  <c r="FJ43" i="1" s="1"/>
  <c r="FH43" i="1"/>
  <c r="FE43" i="1"/>
  <c r="FD43" i="1"/>
  <c r="FF43" i="1" s="1"/>
  <c r="FB43" i="1"/>
  <c r="BY43" i="1" s="1"/>
  <c r="EW43" i="1"/>
  <c r="EV43" i="1"/>
  <c r="EU43" i="1"/>
  <c r="ES43" i="1"/>
  <c r="ER43" i="1"/>
  <c r="EQ43" i="1"/>
  <c r="EP43" i="1"/>
  <c r="EN43" i="1"/>
  <c r="ET43" i="1" s="1"/>
  <c r="EB43" i="1"/>
  <c r="DK43" i="1"/>
  <c r="DM43" i="1" s="1"/>
  <c r="CX43" i="1"/>
  <c r="CU43" i="1"/>
  <c r="DA43" i="1" s="1"/>
  <c r="AT43" i="1" s="1"/>
  <c r="CM43" i="1"/>
  <c r="CG43" i="1"/>
  <c r="CJ43" i="1" s="1"/>
  <c r="CF43" i="1"/>
  <c r="BU43" i="1"/>
  <c r="BK43" i="1"/>
  <c r="BR43" i="1" s="1"/>
  <c r="BJ43" i="1"/>
  <c r="BO43" i="1" s="1"/>
  <c r="BB43" i="1"/>
  <c r="BA43" i="1"/>
  <c r="AZ43" i="1"/>
  <c r="AS43" i="1"/>
  <c r="AQ43" i="1"/>
  <c r="AP43" i="1"/>
  <c r="AN43" i="1"/>
  <c r="AE43" i="1"/>
  <c r="AA43" i="1"/>
  <c r="Z43" i="1"/>
  <c r="N43" i="1"/>
  <c r="P43" i="1" s="1"/>
  <c r="BX43" i="1" s="1"/>
  <c r="GN42" i="1"/>
  <c r="GL42" i="1"/>
  <c r="GJ42" i="1"/>
  <c r="GH42" i="1"/>
  <c r="GC42" i="1"/>
  <c r="FZ42" i="1"/>
  <c r="FX42" i="1" s="1"/>
  <c r="FR42" i="1"/>
  <c r="FP42" i="1"/>
  <c r="FN42" i="1"/>
  <c r="FI42" i="1"/>
  <c r="FH42" i="1"/>
  <c r="FE42" i="1"/>
  <c r="FD42" i="1"/>
  <c r="FB42" i="1"/>
  <c r="BY42" i="1" s="1"/>
  <c r="EN42" i="1"/>
  <c r="EV42" i="1" s="1"/>
  <c r="EB42" i="1"/>
  <c r="DK42" i="1"/>
  <c r="DM42" i="1" s="1"/>
  <c r="CX42" i="1"/>
  <c r="CU42" i="1"/>
  <c r="CM42" i="1"/>
  <c r="CJ42" i="1"/>
  <c r="CR42" i="1" s="1"/>
  <c r="AR42" i="1" s="1"/>
  <c r="CG42" i="1"/>
  <c r="FV42" i="1" s="1"/>
  <c r="FT42" i="1" s="1"/>
  <c r="BW42" i="1" s="1"/>
  <c r="CF42" i="1"/>
  <c r="BB42" i="1"/>
  <c r="BA42" i="1"/>
  <c r="AZ42" i="1"/>
  <c r="AX42" i="1"/>
  <c r="AS42" i="1"/>
  <c r="AQ42" i="1"/>
  <c r="AP42" i="1"/>
  <c r="AL42" i="1"/>
  <c r="AE42" i="1"/>
  <c r="AA42" i="1"/>
  <c r="Z42" i="1"/>
  <c r="N42" i="1"/>
  <c r="GN41" i="1"/>
  <c r="GL41" i="1"/>
  <c r="GJ41" i="1"/>
  <c r="GH41" i="1"/>
  <c r="GF41" i="1" s="1"/>
  <c r="GC41" i="1"/>
  <c r="FZ41" i="1"/>
  <c r="FX41" i="1" s="1"/>
  <c r="FR41" i="1"/>
  <c r="FP41" i="1" s="1"/>
  <c r="FN41" i="1"/>
  <c r="FJ41" i="1"/>
  <c r="CA41" i="1" s="1"/>
  <c r="CB41" i="1" s="1"/>
  <c r="FI41" i="1"/>
  <c r="FH41" i="1"/>
  <c r="FE41" i="1"/>
  <c r="FD41" i="1"/>
  <c r="FF41" i="1" s="1"/>
  <c r="FB41" i="1"/>
  <c r="BY41" i="1" s="1"/>
  <c r="EV41" i="1"/>
  <c r="ET41" i="1"/>
  <c r="EN41" i="1"/>
  <c r="ES41" i="1" s="1"/>
  <c r="EB41" i="1"/>
  <c r="DM41" i="1"/>
  <c r="DL41" i="1"/>
  <c r="DK41" i="1"/>
  <c r="CX41" i="1"/>
  <c r="CU41" i="1"/>
  <c r="DA41" i="1" s="1"/>
  <c r="AT41" i="1" s="1"/>
  <c r="CM41" i="1"/>
  <c r="CG41" i="1"/>
  <c r="CJ41" i="1" s="1"/>
  <c r="CF41" i="1"/>
  <c r="BU41" i="1"/>
  <c r="BR41" i="1"/>
  <c r="BO41" i="1"/>
  <c r="BB41" i="1"/>
  <c r="BA41" i="1"/>
  <c r="AZ41" i="1"/>
  <c r="AS41" i="1"/>
  <c r="AQ41" i="1"/>
  <c r="AP41" i="1"/>
  <c r="AN41" i="1"/>
  <c r="AE41" i="1"/>
  <c r="AA41" i="1"/>
  <c r="Z41" i="1"/>
  <c r="N41" i="1"/>
  <c r="GN40" i="1"/>
  <c r="GL40" i="1"/>
  <c r="GJ40" i="1" s="1"/>
  <c r="GH40" i="1"/>
  <c r="GF40" i="1" s="1"/>
  <c r="GC40" i="1"/>
  <c r="FZ40" i="1"/>
  <c r="FX40" i="1" s="1"/>
  <c r="FR40" i="1"/>
  <c r="FN40" i="1"/>
  <c r="FI40" i="1"/>
  <c r="FJ40" i="1" s="1"/>
  <c r="CA40" i="1" s="1"/>
  <c r="CB40" i="1" s="1"/>
  <c r="FH40" i="1"/>
  <c r="FE40" i="1"/>
  <c r="FD40" i="1"/>
  <c r="FF40" i="1" s="1"/>
  <c r="FB40" i="1"/>
  <c r="EN40" i="1"/>
  <c r="EQ40" i="1" s="1"/>
  <c r="EB40" i="1"/>
  <c r="DK40" i="1"/>
  <c r="DL40" i="1" s="1"/>
  <c r="CX40" i="1"/>
  <c r="CU40" i="1"/>
  <c r="CM40" i="1"/>
  <c r="CG40" i="1"/>
  <c r="FV40" i="1" s="1"/>
  <c r="CF40" i="1"/>
  <c r="BY40" i="1"/>
  <c r="BU40" i="1"/>
  <c r="BK40" i="1"/>
  <c r="BR40" i="1" s="1"/>
  <c r="BJ40" i="1"/>
  <c r="BO40" i="1" s="1"/>
  <c r="BB40" i="1"/>
  <c r="BA40" i="1"/>
  <c r="AZ40" i="1"/>
  <c r="AS40" i="1"/>
  <c r="AQ40" i="1"/>
  <c r="AP40" i="1"/>
  <c r="AN40" i="1"/>
  <c r="AE40" i="1"/>
  <c r="AD40" i="1"/>
  <c r="AC40" i="1"/>
  <c r="AA40" i="1"/>
  <c r="Z40" i="1"/>
  <c r="P40" i="1"/>
  <c r="N40" i="1"/>
  <c r="AB40" i="1" s="1"/>
  <c r="GN39" i="1"/>
  <c r="GL39" i="1"/>
  <c r="GJ39" i="1"/>
  <c r="GH39" i="1"/>
  <c r="GF39" i="1" s="1"/>
  <c r="GC39" i="1"/>
  <c r="FZ39" i="1"/>
  <c r="FX39" i="1"/>
  <c r="FR39" i="1"/>
  <c r="AX39" i="1" s="1"/>
  <c r="FN39" i="1"/>
  <c r="FJ39" i="1"/>
  <c r="FI39" i="1"/>
  <c r="FH39" i="1"/>
  <c r="FE39" i="1"/>
  <c r="FD39" i="1"/>
  <c r="FF39" i="1" s="1"/>
  <c r="BZ39" i="1" s="1"/>
  <c r="FB39" i="1"/>
  <c r="BY39" i="1" s="1"/>
  <c r="ET39" i="1"/>
  <c r="EP39" i="1"/>
  <c r="EN39" i="1"/>
  <c r="EW39" i="1" s="1"/>
  <c r="EB39" i="1"/>
  <c r="DL39" i="1"/>
  <c r="DK39" i="1"/>
  <c r="DM39" i="1" s="1"/>
  <c r="CX39" i="1"/>
  <c r="CU39" i="1"/>
  <c r="CM39" i="1"/>
  <c r="CG39" i="1"/>
  <c r="CJ39" i="1" s="1"/>
  <c r="CF39" i="1"/>
  <c r="BU39" i="1"/>
  <c r="BR39" i="1"/>
  <c r="BO39" i="1"/>
  <c r="BB39" i="1"/>
  <c r="BA39" i="1"/>
  <c r="AZ39" i="1"/>
  <c r="AS39" i="1"/>
  <c r="AQ39" i="1"/>
  <c r="AP39" i="1"/>
  <c r="AN39" i="1"/>
  <c r="AE39" i="1"/>
  <c r="AD39" i="1"/>
  <c r="AA39" i="1"/>
  <c r="Z39" i="1"/>
  <c r="N39" i="1"/>
  <c r="AC39" i="1" s="1"/>
  <c r="GN38" i="1"/>
  <c r="GL38" i="1"/>
  <c r="GJ38" i="1" s="1"/>
  <c r="GH38" i="1"/>
  <c r="AN38" i="1" s="1"/>
  <c r="GC38" i="1"/>
  <c r="FZ38" i="1"/>
  <c r="FX38" i="1" s="1"/>
  <c r="FV38" i="1"/>
  <c r="FT38" i="1" s="1"/>
  <c r="BW38" i="1" s="1"/>
  <c r="FR38" i="1"/>
  <c r="FP38" i="1" s="1"/>
  <c r="FN38" i="1"/>
  <c r="FI38" i="1"/>
  <c r="FH38" i="1"/>
  <c r="FJ38" i="1" s="1"/>
  <c r="FE38" i="1"/>
  <c r="FD38" i="1"/>
  <c r="FF38" i="1" s="1"/>
  <c r="FB38" i="1"/>
  <c r="EQ38" i="1"/>
  <c r="EP38" i="1"/>
  <c r="EN38" i="1"/>
  <c r="EW38" i="1" s="1"/>
  <c r="EB38" i="1"/>
  <c r="DK38" i="1"/>
  <c r="DM38" i="1" s="1"/>
  <c r="CX38" i="1"/>
  <c r="CU38" i="1"/>
  <c r="CM38" i="1"/>
  <c r="CG38" i="1"/>
  <c r="CJ38" i="1" s="1"/>
  <c r="CR38" i="1" s="1"/>
  <c r="AR38" i="1" s="1"/>
  <c r="CF38" i="1"/>
  <c r="CA38" i="1"/>
  <c r="CB38" i="1" s="1"/>
  <c r="BU38" i="1"/>
  <c r="BR38" i="1"/>
  <c r="BO38" i="1"/>
  <c r="BB38" i="1"/>
  <c r="BA38" i="1"/>
  <c r="AZ38" i="1"/>
  <c r="AX38" i="1"/>
  <c r="AS38" i="1"/>
  <c r="AQ38" i="1"/>
  <c r="AP38" i="1"/>
  <c r="AE38" i="1"/>
  <c r="AB38" i="1"/>
  <c r="AA38" i="1"/>
  <c r="Z38" i="1"/>
  <c r="N38" i="1"/>
  <c r="AD38" i="1" s="1"/>
  <c r="GN37" i="1"/>
  <c r="GL37" i="1"/>
  <c r="GJ37" i="1" s="1"/>
  <c r="GH37" i="1"/>
  <c r="AN37" i="1" s="1"/>
  <c r="GC37" i="1"/>
  <c r="FZ37" i="1"/>
  <c r="FX37" i="1" s="1"/>
  <c r="FR37" i="1"/>
  <c r="FP37" i="1" s="1"/>
  <c r="FN37" i="1"/>
  <c r="FI37" i="1"/>
  <c r="FH37" i="1"/>
  <c r="FE37" i="1"/>
  <c r="FD37" i="1"/>
  <c r="FF37" i="1" s="1"/>
  <c r="FB37" i="1"/>
  <c r="ER37" i="1"/>
  <c r="EN37" i="1"/>
  <c r="ET37" i="1" s="1"/>
  <c r="EB37" i="1"/>
  <c r="DK37" i="1"/>
  <c r="DM37" i="1" s="1"/>
  <c r="CX37" i="1"/>
  <c r="CU37" i="1"/>
  <c r="DA37" i="1" s="1"/>
  <c r="AT37" i="1" s="1"/>
  <c r="CM37" i="1"/>
  <c r="CG37" i="1"/>
  <c r="CJ37" i="1" s="1"/>
  <c r="CF37" i="1"/>
  <c r="BY37" i="1"/>
  <c r="BU37" i="1"/>
  <c r="BR37" i="1"/>
  <c r="BO37" i="1"/>
  <c r="BB37" i="1"/>
  <c r="BA37" i="1"/>
  <c r="AZ37" i="1"/>
  <c r="AX37" i="1"/>
  <c r="AS37" i="1"/>
  <c r="AQ37" i="1"/>
  <c r="AP37" i="1"/>
  <c r="AE37" i="1"/>
  <c r="AA37" i="1"/>
  <c r="Z37" i="1"/>
  <c r="N37" i="1"/>
  <c r="GN36" i="1"/>
  <c r="GL36" i="1"/>
  <c r="GJ36" i="1" s="1"/>
  <c r="GH36" i="1"/>
  <c r="GC36" i="1"/>
  <c r="FZ36" i="1"/>
  <c r="FX36" i="1" s="1"/>
  <c r="FR36" i="1"/>
  <c r="FP36" i="1" s="1"/>
  <c r="FN36" i="1"/>
  <c r="FI36" i="1"/>
  <c r="FH36" i="1"/>
  <c r="FE36" i="1"/>
  <c r="FD36" i="1"/>
  <c r="FF36" i="1" s="1"/>
  <c r="BZ36" i="1" s="1"/>
  <c r="FB36" i="1"/>
  <c r="EN36" i="1"/>
  <c r="EQ36" i="1" s="1"/>
  <c r="EB36" i="1"/>
  <c r="DK36" i="1"/>
  <c r="DM36" i="1" s="1"/>
  <c r="CX36" i="1"/>
  <c r="CU36" i="1"/>
  <c r="DA36" i="1" s="1"/>
  <c r="AT36" i="1" s="1"/>
  <c r="CM36" i="1"/>
  <c r="CG36" i="1"/>
  <c r="FV36" i="1" s="1"/>
  <c r="CF36" i="1"/>
  <c r="BY36" i="1"/>
  <c r="BU36" i="1"/>
  <c r="BK36" i="1"/>
  <c r="BR36" i="1" s="1"/>
  <c r="BJ36" i="1"/>
  <c r="BO36" i="1" s="1"/>
  <c r="BB36" i="1"/>
  <c r="BA36" i="1"/>
  <c r="AZ36" i="1"/>
  <c r="AS36" i="1"/>
  <c r="AQ36" i="1"/>
  <c r="AP36" i="1"/>
  <c r="AE36" i="1"/>
  <c r="AA36" i="1"/>
  <c r="Z36" i="1"/>
  <c r="N36" i="1"/>
  <c r="GN35" i="1"/>
  <c r="GL35" i="1"/>
  <c r="GJ35" i="1" s="1"/>
  <c r="GH35" i="1"/>
  <c r="AN35" i="1" s="1"/>
  <c r="GF35" i="1"/>
  <c r="GC35" i="1"/>
  <c r="FZ35" i="1"/>
  <c r="FX35" i="1" s="1"/>
  <c r="FR35" i="1"/>
  <c r="FP35" i="1" s="1"/>
  <c r="FN35" i="1"/>
  <c r="FI35" i="1"/>
  <c r="FJ35" i="1" s="1"/>
  <c r="FH35" i="1"/>
  <c r="FE35" i="1"/>
  <c r="FD35" i="1"/>
  <c r="FF35" i="1" s="1"/>
  <c r="FB35" i="1"/>
  <c r="BY35" i="1" s="1"/>
  <c r="EN35" i="1"/>
  <c r="ES35" i="1" s="1"/>
  <c r="EB35" i="1"/>
  <c r="DK35" i="1"/>
  <c r="CX35" i="1"/>
  <c r="CU35" i="1"/>
  <c r="CM35" i="1"/>
  <c r="CG35" i="1"/>
  <c r="CF35" i="1"/>
  <c r="BU35" i="1"/>
  <c r="BR35" i="1"/>
  <c r="BO35" i="1"/>
  <c r="BB35" i="1"/>
  <c r="BA35" i="1"/>
  <c r="AZ35" i="1"/>
  <c r="AX35" i="1"/>
  <c r="AS35" i="1"/>
  <c r="AQ35" i="1"/>
  <c r="AP35" i="1"/>
  <c r="AE35" i="1"/>
  <c r="AC35" i="1"/>
  <c r="AB35" i="1"/>
  <c r="AA35" i="1"/>
  <c r="Z35" i="1"/>
  <c r="P35" i="1"/>
  <c r="R35" i="1" s="1"/>
  <c r="N35" i="1"/>
  <c r="AD35" i="1" s="1"/>
  <c r="GN34" i="1"/>
  <c r="GL34" i="1"/>
  <c r="GJ34" i="1" s="1"/>
  <c r="GH34" i="1"/>
  <c r="GF34" i="1" s="1"/>
  <c r="GC34" i="1"/>
  <c r="FZ34" i="1"/>
  <c r="FX34" i="1" s="1"/>
  <c r="FV34" i="1"/>
  <c r="FR34" i="1"/>
  <c r="AX34" i="1" s="1"/>
  <c r="FP34" i="1"/>
  <c r="FN34" i="1"/>
  <c r="FI34" i="1"/>
  <c r="FH34" i="1"/>
  <c r="FJ34" i="1" s="1"/>
  <c r="CA34" i="1" s="1"/>
  <c r="CB34" i="1" s="1"/>
  <c r="FE34" i="1"/>
  <c r="FD34" i="1"/>
  <c r="FF34" i="1" s="1"/>
  <c r="FB34" i="1"/>
  <c r="EN34" i="1"/>
  <c r="EW34" i="1" s="1"/>
  <c r="EB34" i="1"/>
  <c r="DK34" i="1"/>
  <c r="DL34" i="1" s="1"/>
  <c r="CX34" i="1"/>
  <c r="CU34" i="1"/>
  <c r="CM34" i="1"/>
  <c r="CG34" i="1"/>
  <c r="CJ34" i="1" s="1"/>
  <c r="CF34" i="1"/>
  <c r="CR34" i="1" s="1"/>
  <c r="AR34" i="1" s="1"/>
  <c r="BY34" i="1"/>
  <c r="BU34" i="1"/>
  <c r="BR34" i="1"/>
  <c r="BO34" i="1"/>
  <c r="BB34" i="1"/>
  <c r="BA34" i="1"/>
  <c r="AZ34" i="1"/>
  <c r="AS34" i="1"/>
  <c r="AQ34" i="1"/>
  <c r="AP34" i="1"/>
  <c r="AN34" i="1"/>
  <c r="AE34" i="1"/>
  <c r="AA34" i="1"/>
  <c r="Z34" i="1"/>
  <c r="N34" i="1"/>
  <c r="GN33" i="1"/>
  <c r="GL33" i="1"/>
  <c r="GJ33" i="1" s="1"/>
  <c r="GH33" i="1"/>
  <c r="GF33" i="1" s="1"/>
  <c r="GC33" i="1"/>
  <c r="FZ33" i="1"/>
  <c r="FX33" i="1"/>
  <c r="FV33" i="1"/>
  <c r="GD33" i="1" s="1"/>
  <c r="FR33" i="1"/>
  <c r="FP33" i="1" s="1"/>
  <c r="FN33" i="1"/>
  <c r="FI33" i="1"/>
  <c r="FH33" i="1"/>
  <c r="FJ33" i="1" s="1"/>
  <c r="FE33" i="1"/>
  <c r="FD33" i="1"/>
  <c r="FF33" i="1" s="1"/>
  <c r="FB33" i="1"/>
  <c r="EU33" i="1"/>
  <c r="EN33" i="1"/>
  <c r="EW33" i="1" s="1"/>
  <c r="EB33" i="1"/>
  <c r="DK33" i="1"/>
  <c r="DM33" i="1" s="1"/>
  <c r="CX33" i="1"/>
  <c r="CU33" i="1"/>
  <c r="DA33" i="1" s="1"/>
  <c r="AT33" i="1" s="1"/>
  <c r="CM33" i="1"/>
  <c r="CJ33" i="1"/>
  <c r="CG33" i="1"/>
  <c r="CF33" i="1"/>
  <c r="BB33" i="1"/>
  <c r="BA33" i="1"/>
  <c r="AZ33" i="1"/>
  <c r="AS33" i="1"/>
  <c r="AQ33" i="1"/>
  <c r="AP33" i="1"/>
  <c r="AE33" i="1"/>
  <c r="AC33" i="1"/>
  <c r="AA33" i="1"/>
  <c r="Z33" i="1"/>
  <c r="N33" i="1"/>
  <c r="AB33" i="1" s="1"/>
  <c r="GN32" i="1"/>
  <c r="GL32" i="1"/>
  <c r="GJ32" i="1" s="1"/>
  <c r="GH32" i="1"/>
  <c r="GF32" i="1"/>
  <c r="GC32" i="1"/>
  <c r="FZ32" i="1"/>
  <c r="FX32" i="1" s="1"/>
  <c r="FR32" i="1"/>
  <c r="FP32" i="1" s="1"/>
  <c r="FN32" i="1"/>
  <c r="FI32" i="1"/>
  <c r="FH32" i="1"/>
  <c r="FE32" i="1"/>
  <c r="FD32" i="1"/>
  <c r="FB32" i="1"/>
  <c r="EP32" i="1"/>
  <c r="EN32" i="1"/>
  <c r="ET32" i="1" s="1"/>
  <c r="EB32" i="1"/>
  <c r="DK32" i="1"/>
  <c r="DA32" i="1"/>
  <c r="AT32" i="1" s="1"/>
  <c r="CX32" i="1"/>
  <c r="CU32" i="1"/>
  <c r="CM32" i="1"/>
  <c r="CJ32" i="1"/>
  <c r="CG32" i="1"/>
  <c r="FV32" i="1" s="1"/>
  <c r="FT32" i="1" s="1"/>
  <c r="BW32" i="1" s="1"/>
  <c r="CF32" i="1"/>
  <c r="BY32" i="1"/>
  <c r="BU32" i="1"/>
  <c r="BK32" i="1"/>
  <c r="BR32" i="1" s="1"/>
  <c r="BJ32" i="1"/>
  <c r="BO32" i="1" s="1"/>
  <c r="BB32" i="1"/>
  <c r="BA32" i="1"/>
  <c r="AZ32" i="1"/>
  <c r="AS32" i="1"/>
  <c r="AQ32" i="1"/>
  <c r="AP32" i="1"/>
  <c r="AN32" i="1"/>
  <c r="AE32" i="1"/>
  <c r="AD32" i="1"/>
  <c r="AC32" i="1"/>
  <c r="AB32" i="1"/>
  <c r="AA32" i="1"/>
  <c r="Z32" i="1"/>
  <c r="N32" i="1"/>
  <c r="P32" i="1" s="1"/>
  <c r="GN31" i="1"/>
  <c r="GL31" i="1"/>
  <c r="GJ31" i="1" s="1"/>
  <c r="GH31" i="1"/>
  <c r="GF31" i="1" s="1"/>
  <c r="GC31" i="1"/>
  <c r="FZ31" i="1"/>
  <c r="FX31" i="1" s="1"/>
  <c r="FR31" i="1"/>
  <c r="AX31" i="1" s="1"/>
  <c r="FP31" i="1"/>
  <c r="FN31" i="1"/>
  <c r="FI31" i="1"/>
  <c r="FH31" i="1"/>
  <c r="FE31" i="1"/>
  <c r="FD31" i="1"/>
  <c r="FF31" i="1" s="1"/>
  <c r="FB31" i="1"/>
  <c r="EN31" i="1"/>
  <c r="EV31" i="1" s="1"/>
  <c r="EB31" i="1"/>
  <c r="DM31" i="1"/>
  <c r="DK31" i="1"/>
  <c r="DL31" i="1" s="1"/>
  <c r="CX31" i="1"/>
  <c r="CU31" i="1"/>
  <c r="DA31" i="1" s="1"/>
  <c r="AT31" i="1" s="1"/>
  <c r="CM31" i="1"/>
  <c r="CG31" i="1"/>
  <c r="FV31" i="1" s="1"/>
  <c r="FT31" i="1" s="1"/>
  <c r="BW31" i="1" s="1"/>
  <c r="CF31" i="1"/>
  <c r="BU31" i="1"/>
  <c r="BR31" i="1"/>
  <c r="BO31" i="1"/>
  <c r="BB31" i="1"/>
  <c r="BA31" i="1"/>
  <c r="AZ31" i="1"/>
  <c r="AS31" i="1"/>
  <c r="AQ31" i="1"/>
  <c r="AP31" i="1"/>
  <c r="AN31" i="1"/>
  <c r="AE31" i="1"/>
  <c r="AA31" i="1"/>
  <c r="Z31" i="1"/>
  <c r="N31" i="1"/>
  <c r="GN30" i="1"/>
  <c r="GL30" i="1"/>
  <c r="GJ30" i="1" s="1"/>
  <c r="GH30" i="1"/>
  <c r="GF30" i="1" s="1"/>
  <c r="GC30" i="1"/>
  <c r="FZ30" i="1"/>
  <c r="FX30" i="1" s="1"/>
  <c r="FR30" i="1"/>
  <c r="FP30" i="1" s="1"/>
  <c r="FN30" i="1"/>
  <c r="FI30" i="1"/>
  <c r="FH30" i="1"/>
  <c r="FE30" i="1"/>
  <c r="FD30" i="1"/>
  <c r="FB30" i="1"/>
  <c r="EW30" i="1"/>
  <c r="EV30" i="1"/>
  <c r="ES30" i="1"/>
  <c r="ER30" i="1"/>
  <c r="EN30" i="1"/>
  <c r="EB30" i="1"/>
  <c r="DK30" i="1"/>
  <c r="DM30" i="1" s="1"/>
  <c r="CX30" i="1"/>
  <c r="CU30" i="1"/>
  <c r="DA30" i="1" s="1"/>
  <c r="AT30" i="1" s="1"/>
  <c r="CM30" i="1"/>
  <c r="CG30" i="1"/>
  <c r="CJ30" i="1" s="1"/>
  <c r="CF30" i="1"/>
  <c r="BB30" i="1"/>
  <c r="BA30" i="1"/>
  <c r="AZ30" i="1"/>
  <c r="AX30" i="1"/>
  <c r="AS30" i="1"/>
  <c r="AQ30" i="1"/>
  <c r="AP30" i="1"/>
  <c r="AE30" i="1"/>
  <c r="AA30" i="1"/>
  <c r="Z30" i="1"/>
  <c r="P30" i="1"/>
  <c r="R30" i="1" s="1"/>
  <c r="N30" i="1"/>
  <c r="AC30" i="1" s="1"/>
  <c r="GN29" i="1"/>
  <c r="GL29" i="1"/>
  <c r="GJ29" i="1"/>
  <c r="GH29" i="1"/>
  <c r="GF29" i="1" s="1"/>
  <c r="GC29" i="1"/>
  <c r="FZ29" i="1"/>
  <c r="FX29" i="1" s="1"/>
  <c r="FV29" i="1"/>
  <c r="GD29" i="1" s="1"/>
  <c r="AM29" i="1" s="1"/>
  <c r="FR29" i="1"/>
  <c r="AX29" i="1" s="1"/>
  <c r="FN29" i="1"/>
  <c r="FJ29" i="1"/>
  <c r="CA29" i="1" s="1"/>
  <c r="CB29" i="1" s="1"/>
  <c r="FI29" i="1"/>
  <c r="FH29" i="1"/>
  <c r="FE29" i="1"/>
  <c r="FD29" i="1"/>
  <c r="FF29" i="1" s="1"/>
  <c r="FB29" i="1"/>
  <c r="EW29" i="1"/>
  <c r="EV29" i="1"/>
  <c r="EU29" i="1"/>
  <c r="ER29" i="1"/>
  <c r="EQ29" i="1"/>
  <c r="EP29" i="1"/>
  <c r="EN29" i="1"/>
  <c r="ET29" i="1" s="1"/>
  <c r="EB29" i="1"/>
  <c r="DK29" i="1"/>
  <c r="DM29" i="1" s="1"/>
  <c r="CX29" i="1"/>
  <c r="CU29" i="1"/>
  <c r="DA29" i="1" s="1"/>
  <c r="AT29" i="1" s="1"/>
  <c r="CM29" i="1"/>
  <c r="CG29" i="1"/>
  <c r="CJ29" i="1" s="1"/>
  <c r="CF29" i="1"/>
  <c r="BY29" i="1"/>
  <c r="BU29" i="1"/>
  <c r="BR29" i="1"/>
  <c r="BO29" i="1"/>
  <c r="BB29" i="1"/>
  <c r="BA29" i="1"/>
  <c r="AZ29" i="1"/>
  <c r="AS29" i="1"/>
  <c r="AQ29" i="1"/>
  <c r="AP29" i="1"/>
  <c r="AE29" i="1"/>
  <c r="AA29" i="1"/>
  <c r="Z29" i="1"/>
  <c r="N29" i="1"/>
  <c r="P29" i="1" s="1"/>
  <c r="BX29" i="1" s="1"/>
  <c r="GN28" i="1"/>
  <c r="GL28" i="1"/>
  <c r="GJ28" i="1" s="1"/>
  <c r="GH28" i="1"/>
  <c r="GF28" i="1" s="1"/>
  <c r="GC28" i="1"/>
  <c r="FZ28" i="1"/>
  <c r="FX28" i="1" s="1"/>
  <c r="FR28" i="1"/>
  <c r="AX28" i="1" s="1"/>
  <c r="FN28" i="1"/>
  <c r="FI28" i="1"/>
  <c r="FH28" i="1"/>
  <c r="FJ28" i="1" s="1"/>
  <c r="CA28" i="1" s="1"/>
  <c r="CB28" i="1" s="1"/>
  <c r="FE28" i="1"/>
  <c r="FD28" i="1"/>
  <c r="FB28" i="1"/>
  <c r="EN28" i="1"/>
  <c r="ES28" i="1" s="1"/>
  <c r="EB28" i="1"/>
  <c r="DM28" i="1"/>
  <c r="DK28" i="1"/>
  <c r="DL28" i="1" s="1"/>
  <c r="CX28" i="1"/>
  <c r="CU28" i="1"/>
  <c r="CM28" i="1"/>
  <c r="CJ28" i="1"/>
  <c r="CG28" i="1"/>
  <c r="FV28" i="1" s="1"/>
  <c r="CF28" i="1"/>
  <c r="CR28" i="1" s="1"/>
  <c r="AR28" i="1" s="1"/>
  <c r="BU28" i="1"/>
  <c r="BR28" i="1"/>
  <c r="BO28" i="1"/>
  <c r="BB28" i="1"/>
  <c r="BA28" i="1"/>
  <c r="AZ28" i="1"/>
  <c r="AS28" i="1"/>
  <c r="AQ28" i="1"/>
  <c r="AP28" i="1"/>
  <c r="AN28" i="1"/>
  <c r="AE28" i="1"/>
  <c r="AD28" i="1"/>
  <c r="AC28" i="1"/>
  <c r="AB28" i="1"/>
  <c r="AA28" i="1"/>
  <c r="Z28" i="1"/>
  <c r="N28" i="1"/>
  <c r="P28" i="1" s="1"/>
  <c r="GN27" i="1"/>
  <c r="GL27" i="1"/>
  <c r="GJ27" i="1" s="1"/>
  <c r="GH27" i="1"/>
  <c r="AN27" i="1" s="1"/>
  <c r="GC27" i="1"/>
  <c r="FZ27" i="1"/>
  <c r="FX27" i="1" s="1"/>
  <c r="FR27" i="1"/>
  <c r="FP27" i="1" s="1"/>
  <c r="FN27" i="1"/>
  <c r="FI27" i="1"/>
  <c r="FH27" i="1"/>
  <c r="FE27" i="1"/>
  <c r="FD27" i="1"/>
  <c r="FF27" i="1" s="1"/>
  <c r="FB27" i="1"/>
  <c r="EN27" i="1"/>
  <c r="EP27" i="1" s="1"/>
  <c r="EB27" i="1"/>
  <c r="DK27" i="1"/>
  <c r="DM27" i="1" s="1"/>
  <c r="DA27" i="1"/>
  <c r="AT27" i="1" s="1"/>
  <c r="CX27" i="1"/>
  <c r="CU27" i="1"/>
  <c r="CM27" i="1"/>
  <c r="CG27" i="1"/>
  <c r="CJ27" i="1" s="1"/>
  <c r="CR27" i="1" s="1"/>
  <c r="AR27" i="1" s="1"/>
  <c r="CF27" i="1"/>
  <c r="BY27" i="1"/>
  <c r="BB27" i="1"/>
  <c r="BA27" i="1"/>
  <c r="AZ27" i="1"/>
  <c r="AS27" i="1"/>
  <c r="AQ27" i="1"/>
  <c r="AP27" i="1"/>
  <c r="AE27" i="1"/>
  <c r="AA27" i="1"/>
  <c r="Z27" i="1"/>
  <c r="N27" i="1"/>
  <c r="AC27" i="1" s="1"/>
  <c r="GN26" i="1"/>
  <c r="GL26" i="1"/>
  <c r="GJ26" i="1"/>
  <c r="GH26" i="1"/>
  <c r="GF26" i="1" s="1"/>
  <c r="GC26" i="1"/>
  <c r="FZ26" i="1"/>
  <c r="FX26" i="1" s="1"/>
  <c r="FR26" i="1"/>
  <c r="FP26" i="1" s="1"/>
  <c r="FN26" i="1"/>
  <c r="FI26" i="1"/>
  <c r="FH26" i="1"/>
  <c r="FJ26" i="1" s="1"/>
  <c r="CA26" i="1" s="1"/>
  <c r="CB26" i="1" s="1"/>
  <c r="FE26" i="1"/>
  <c r="FD26" i="1"/>
  <c r="FF26" i="1" s="1"/>
  <c r="BZ26" i="1" s="1"/>
  <c r="FB26" i="1"/>
  <c r="BY26" i="1" s="1"/>
  <c r="EN26" i="1"/>
  <c r="EV26" i="1" s="1"/>
  <c r="EB26" i="1"/>
  <c r="DL26" i="1"/>
  <c r="DK26" i="1"/>
  <c r="DM26" i="1" s="1"/>
  <c r="CX26" i="1"/>
  <c r="CU26" i="1"/>
  <c r="CM26" i="1"/>
  <c r="CG26" i="1"/>
  <c r="CJ26" i="1" s="1"/>
  <c r="CF26" i="1"/>
  <c r="BU26" i="1"/>
  <c r="BR26" i="1"/>
  <c r="BO26" i="1"/>
  <c r="BB26" i="1"/>
  <c r="BA26" i="1"/>
  <c r="AZ26" i="1"/>
  <c r="AX26" i="1"/>
  <c r="AS26" i="1"/>
  <c r="AQ26" i="1"/>
  <c r="AP26" i="1"/>
  <c r="AN26" i="1"/>
  <c r="AE26" i="1"/>
  <c r="AA26" i="1"/>
  <c r="Z26" i="1"/>
  <c r="N26" i="1"/>
  <c r="AC26" i="1" s="1"/>
  <c r="GN25" i="1"/>
  <c r="GL25" i="1"/>
  <c r="GJ25" i="1" s="1"/>
  <c r="GH25" i="1"/>
  <c r="GF25" i="1" s="1"/>
  <c r="GC25" i="1"/>
  <c r="FZ25" i="1"/>
  <c r="FX25" i="1"/>
  <c r="FR25" i="1"/>
  <c r="AX25" i="1" s="1"/>
  <c r="FN25" i="1"/>
  <c r="FI25" i="1"/>
  <c r="FH25" i="1"/>
  <c r="FF25" i="1"/>
  <c r="FE25" i="1"/>
  <c r="FD25" i="1"/>
  <c r="FB25" i="1"/>
  <c r="EV25" i="1"/>
  <c r="EU25" i="1"/>
  <c r="ET25" i="1"/>
  <c r="EQ25" i="1"/>
  <c r="EP25" i="1"/>
  <c r="EN25" i="1"/>
  <c r="ES25" i="1" s="1"/>
  <c r="EB25" i="1"/>
  <c r="DM25" i="1"/>
  <c r="DL25" i="1"/>
  <c r="DK25" i="1"/>
  <c r="CX25" i="1"/>
  <c r="CU25" i="1"/>
  <c r="CM25" i="1"/>
  <c r="CG25" i="1"/>
  <c r="FV25" i="1" s="1"/>
  <c r="CF25" i="1"/>
  <c r="BU25" i="1"/>
  <c r="BR25" i="1"/>
  <c r="BO25" i="1"/>
  <c r="BB25" i="1"/>
  <c r="BA25" i="1"/>
  <c r="AZ25" i="1"/>
  <c r="AS25" i="1"/>
  <c r="AQ25" i="1"/>
  <c r="AP25" i="1"/>
  <c r="AE25" i="1"/>
  <c r="AD25" i="1"/>
  <c r="AC25" i="1"/>
  <c r="AA25" i="1"/>
  <c r="Z25" i="1"/>
  <c r="N25" i="1"/>
  <c r="P25" i="1" s="1"/>
  <c r="GN24" i="1"/>
  <c r="GL24" i="1"/>
  <c r="GJ24" i="1" s="1"/>
  <c r="GH24" i="1"/>
  <c r="GF24" i="1"/>
  <c r="GC24" i="1"/>
  <c r="FZ24" i="1"/>
  <c r="FR24" i="1"/>
  <c r="FP24" i="1" s="1"/>
  <c r="FN24" i="1"/>
  <c r="FI24" i="1"/>
  <c r="FH24" i="1"/>
  <c r="FE24" i="1"/>
  <c r="FD24" i="1"/>
  <c r="FF24" i="1" s="1"/>
  <c r="FB24" i="1"/>
  <c r="ES24" i="1"/>
  <c r="EN24" i="1"/>
  <c r="EP24" i="1" s="1"/>
  <c r="EB24" i="1"/>
  <c r="DK24" i="1"/>
  <c r="DM24" i="1" s="1"/>
  <c r="CX24" i="1"/>
  <c r="CU24" i="1"/>
  <c r="DA24" i="1" s="1"/>
  <c r="AT24" i="1" s="1"/>
  <c r="CM24" i="1"/>
  <c r="CJ24" i="1"/>
  <c r="CG24" i="1"/>
  <c r="FV24" i="1" s="1"/>
  <c r="CF24" i="1"/>
  <c r="BY24" i="1"/>
  <c r="BU24" i="1"/>
  <c r="BR24" i="1"/>
  <c r="BO24" i="1"/>
  <c r="BB24" i="1"/>
  <c r="BA24" i="1"/>
  <c r="AZ24" i="1"/>
  <c r="AX24" i="1"/>
  <c r="AS24" i="1"/>
  <c r="AQ24" i="1"/>
  <c r="AP24" i="1"/>
  <c r="AN24" i="1"/>
  <c r="AE24" i="1"/>
  <c r="AC24" i="1"/>
  <c r="AA24" i="1"/>
  <c r="Z24" i="1"/>
  <c r="N24" i="1"/>
  <c r="GN23" i="1"/>
  <c r="GL23" i="1"/>
  <c r="GJ23" i="1"/>
  <c r="GH23" i="1"/>
  <c r="GC23" i="1"/>
  <c r="FZ23" i="1"/>
  <c r="FX23" i="1" s="1"/>
  <c r="FR23" i="1"/>
  <c r="AX23" i="1" s="1"/>
  <c r="FN23" i="1"/>
  <c r="FJ23" i="1"/>
  <c r="FI23" i="1"/>
  <c r="FH23" i="1"/>
  <c r="FE23" i="1"/>
  <c r="FD23" i="1"/>
  <c r="FB23" i="1"/>
  <c r="EW23" i="1"/>
  <c r="ES23" i="1"/>
  <c r="EN23" i="1"/>
  <c r="EB23" i="1"/>
  <c r="DK23" i="1"/>
  <c r="CX23" i="1"/>
  <c r="CU23" i="1"/>
  <c r="CM23" i="1"/>
  <c r="CG23" i="1"/>
  <c r="FV23" i="1" s="1"/>
  <c r="FT23" i="1" s="1"/>
  <c r="BW23" i="1" s="1"/>
  <c r="CF23" i="1"/>
  <c r="BY23" i="1"/>
  <c r="BU23" i="1"/>
  <c r="BR23" i="1"/>
  <c r="BO23" i="1"/>
  <c r="BB23" i="1"/>
  <c r="BA23" i="1"/>
  <c r="AZ23" i="1"/>
  <c r="AS23" i="1"/>
  <c r="AQ23" i="1"/>
  <c r="AP23" i="1"/>
  <c r="AE23" i="1"/>
  <c r="AA23" i="1"/>
  <c r="Z23" i="1"/>
  <c r="N23" i="1"/>
  <c r="AC23" i="1" s="1"/>
  <c r="GN22" i="1"/>
  <c r="GL22" i="1"/>
  <c r="GJ22" i="1" s="1"/>
  <c r="GH22" i="1"/>
  <c r="GF22" i="1" s="1"/>
  <c r="GC22" i="1"/>
  <c r="FZ22" i="1"/>
  <c r="FX22" i="1" s="1"/>
  <c r="FR22" i="1"/>
  <c r="FP22" i="1" s="1"/>
  <c r="FN22" i="1"/>
  <c r="FI22" i="1"/>
  <c r="FH22" i="1"/>
  <c r="FF22" i="1"/>
  <c r="FE22" i="1"/>
  <c r="FD22" i="1"/>
  <c r="FB22" i="1"/>
  <c r="BZ22" i="1" s="1"/>
  <c r="EN22" i="1"/>
  <c r="EV22" i="1" s="1"/>
  <c r="EB22" i="1"/>
  <c r="DL22" i="1"/>
  <c r="DK22" i="1"/>
  <c r="DM22" i="1" s="1"/>
  <c r="CX22" i="1"/>
  <c r="CU22" i="1"/>
  <c r="DA22" i="1" s="1"/>
  <c r="AT22" i="1" s="1"/>
  <c r="CM22" i="1"/>
  <c r="CG22" i="1"/>
  <c r="CJ22" i="1" s="1"/>
  <c r="CF22" i="1"/>
  <c r="BY22" i="1"/>
  <c r="BU22" i="1"/>
  <c r="BR22" i="1"/>
  <c r="BO22" i="1"/>
  <c r="BB22" i="1"/>
  <c r="BA22" i="1"/>
  <c r="AZ22" i="1"/>
  <c r="AX22" i="1"/>
  <c r="AS22" i="1"/>
  <c r="AQ22" i="1"/>
  <c r="AP22" i="1"/>
  <c r="AN22" i="1"/>
  <c r="AE22" i="1"/>
  <c r="AD22" i="1"/>
  <c r="AA22" i="1"/>
  <c r="Z22" i="1"/>
  <c r="R22" i="1"/>
  <c r="V22" i="1" s="1"/>
  <c r="X22" i="1" s="1"/>
  <c r="P22" i="1"/>
  <c r="BX22" i="1" s="1"/>
  <c r="N22" i="1"/>
  <c r="AC22" i="1" s="1"/>
  <c r="GN21" i="1"/>
  <c r="GL21" i="1"/>
  <c r="GJ21" i="1" s="1"/>
  <c r="GH21" i="1"/>
  <c r="GF21" i="1" s="1"/>
  <c r="GC21" i="1"/>
  <c r="FZ21" i="1"/>
  <c r="FX21" i="1"/>
  <c r="FR21" i="1"/>
  <c r="AX21" i="1" s="1"/>
  <c r="FN21" i="1"/>
  <c r="FI21" i="1"/>
  <c r="FH21" i="1"/>
  <c r="FE21" i="1"/>
  <c r="FD21" i="1"/>
  <c r="FB21" i="1"/>
  <c r="EW21" i="1"/>
  <c r="EV21" i="1"/>
  <c r="EU21" i="1"/>
  <c r="ET21" i="1"/>
  <c r="EQ21" i="1"/>
  <c r="EP21" i="1"/>
  <c r="EN21" i="1"/>
  <c r="ES21" i="1" s="1"/>
  <c r="EB21" i="1"/>
  <c r="DM21" i="1"/>
  <c r="DL21" i="1"/>
  <c r="DK21" i="1"/>
  <c r="CX21" i="1"/>
  <c r="CU21" i="1"/>
  <c r="DA21" i="1" s="1"/>
  <c r="AT21" i="1" s="1"/>
  <c r="CM21" i="1"/>
  <c r="CJ21" i="1"/>
  <c r="CG21" i="1"/>
  <c r="FV21" i="1" s="1"/>
  <c r="CF21" i="1"/>
  <c r="CR21" i="1" s="1"/>
  <c r="AR21" i="1" s="1"/>
  <c r="BU21" i="1"/>
  <c r="BR21" i="1"/>
  <c r="BO21" i="1"/>
  <c r="BB21" i="1"/>
  <c r="BA21" i="1"/>
  <c r="AZ21" i="1"/>
  <c r="AS21" i="1"/>
  <c r="AQ21" i="1"/>
  <c r="AP21" i="1"/>
  <c r="AN21" i="1"/>
  <c r="AE21" i="1"/>
  <c r="AD21" i="1"/>
  <c r="AA21" i="1"/>
  <c r="Z21" i="1"/>
  <c r="N21" i="1"/>
  <c r="P21" i="1" s="1"/>
  <c r="GN20" i="1"/>
  <c r="GL20" i="1"/>
  <c r="GJ20" i="1" s="1"/>
  <c r="GH20" i="1"/>
  <c r="AN20" i="1" s="1"/>
  <c r="GC20" i="1"/>
  <c r="FZ20" i="1"/>
  <c r="FR20" i="1"/>
  <c r="FP20" i="1" s="1"/>
  <c r="FN20" i="1"/>
  <c r="FI20" i="1"/>
  <c r="FH20" i="1"/>
  <c r="FE20" i="1"/>
  <c r="FD20" i="1"/>
  <c r="FB20" i="1"/>
  <c r="BY20" i="1" s="1"/>
  <c r="EW20" i="1"/>
  <c r="EV20" i="1"/>
  <c r="EU20" i="1"/>
  <c r="ET20" i="1"/>
  <c r="EQ20" i="1"/>
  <c r="EN20" i="1"/>
  <c r="EP20" i="1" s="1"/>
  <c r="EB20" i="1"/>
  <c r="DK20" i="1"/>
  <c r="DM20" i="1" s="1"/>
  <c r="CX20" i="1"/>
  <c r="CU20" i="1"/>
  <c r="DA20" i="1" s="1"/>
  <c r="AT20" i="1" s="1"/>
  <c r="CM20" i="1"/>
  <c r="CG20" i="1"/>
  <c r="CJ20" i="1" s="1"/>
  <c r="CF20" i="1"/>
  <c r="BU20" i="1"/>
  <c r="BR20" i="1"/>
  <c r="BO20" i="1"/>
  <c r="BB20" i="1"/>
  <c r="BA20" i="1"/>
  <c r="AZ20" i="1"/>
  <c r="AS20" i="1"/>
  <c r="AQ20" i="1"/>
  <c r="AP20" i="1"/>
  <c r="AE20" i="1"/>
  <c r="AA20" i="1"/>
  <c r="Z20" i="1"/>
  <c r="N20" i="1"/>
  <c r="GN19" i="1"/>
  <c r="GL19" i="1"/>
  <c r="GJ19" i="1" s="1"/>
  <c r="GH19" i="1"/>
  <c r="GC19" i="1"/>
  <c r="FZ19" i="1"/>
  <c r="FX19" i="1" s="1"/>
  <c r="FR19" i="1"/>
  <c r="FN19" i="1"/>
  <c r="FJ19" i="1"/>
  <c r="FI19" i="1"/>
  <c r="FH19" i="1"/>
  <c r="FE19" i="1"/>
  <c r="FD19" i="1"/>
  <c r="FB19" i="1"/>
  <c r="EN19" i="1"/>
  <c r="EW19" i="1" s="1"/>
  <c r="EB19" i="1"/>
  <c r="DK19" i="1"/>
  <c r="CX19" i="1"/>
  <c r="CU19" i="1"/>
  <c r="CM19" i="1"/>
  <c r="CG19" i="1"/>
  <c r="FV19" i="1" s="1"/>
  <c r="FT19" i="1" s="1"/>
  <c r="BW19" i="1" s="1"/>
  <c r="CF19" i="1"/>
  <c r="BY19" i="1"/>
  <c r="BU19" i="1"/>
  <c r="BR19" i="1"/>
  <c r="BO19" i="1"/>
  <c r="BB19" i="1"/>
  <c r="BA19" i="1"/>
  <c r="AZ19" i="1"/>
  <c r="AX19" i="1"/>
  <c r="AS19" i="1"/>
  <c r="AQ19" i="1"/>
  <c r="AP19" i="1"/>
  <c r="AE19" i="1"/>
  <c r="AD19" i="1"/>
  <c r="AA19" i="1"/>
  <c r="Z19" i="1"/>
  <c r="P19" i="1"/>
  <c r="N19" i="1"/>
  <c r="GN18" i="1"/>
  <c r="GL18" i="1"/>
  <c r="GJ18" i="1" s="1"/>
  <c r="GH18" i="1"/>
  <c r="GF18" i="1" s="1"/>
  <c r="GC18" i="1"/>
  <c r="FZ18" i="1"/>
  <c r="FX18" i="1" s="1"/>
  <c r="FV18" i="1"/>
  <c r="FT18" i="1"/>
  <c r="BW18" i="1" s="1"/>
  <c r="FR18" i="1"/>
  <c r="FP18" i="1"/>
  <c r="FN18" i="1"/>
  <c r="FI18" i="1"/>
  <c r="FH18" i="1"/>
  <c r="FJ18" i="1" s="1"/>
  <c r="CA18" i="1" s="1"/>
  <c r="CB18" i="1" s="1"/>
  <c r="FF18" i="1"/>
  <c r="FE18" i="1"/>
  <c r="FD18" i="1"/>
  <c r="FB18" i="1"/>
  <c r="EW18" i="1"/>
  <c r="EP18" i="1"/>
  <c r="EN18" i="1"/>
  <c r="EV18" i="1" s="1"/>
  <c r="EB18" i="1"/>
  <c r="DL18" i="1"/>
  <c r="DK18" i="1"/>
  <c r="DM18" i="1" s="1"/>
  <c r="CX18" i="1"/>
  <c r="CU18" i="1"/>
  <c r="CM18" i="1"/>
  <c r="CG18" i="1"/>
  <c r="CJ18" i="1" s="1"/>
  <c r="CF18" i="1"/>
  <c r="BY18" i="1"/>
  <c r="BU18" i="1"/>
  <c r="BR18" i="1"/>
  <c r="BO18" i="1"/>
  <c r="BB18" i="1"/>
  <c r="BA18" i="1"/>
  <c r="AZ18" i="1"/>
  <c r="AX18" i="1"/>
  <c r="AS18" i="1"/>
  <c r="AQ18" i="1"/>
  <c r="AP18" i="1"/>
  <c r="AE18" i="1"/>
  <c r="AD18" i="1"/>
  <c r="AA18" i="1"/>
  <c r="Z18" i="1"/>
  <c r="R18" i="1"/>
  <c r="V18" i="1" s="1"/>
  <c r="X18" i="1" s="1"/>
  <c r="P18" i="1"/>
  <c r="N18" i="1"/>
  <c r="AC18" i="1" s="1"/>
  <c r="GN17" i="1"/>
  <c r="GL17" i="1"/>
  <c r="GJ17" i="1" s="1"/>
  <c r="GH17" i="1"/>
  <c r="GF17" i="1" s="1"/>
  <c r="GC17" i="1"/>
  <c r="FZ17" i="1"/>
  <c r="FX17" i="1"/>
  <c r="FR17" i="1"/>
  <c r="FP17" i="1" s="1"/>
  <c r="FN17" i="1"/>
  <c r="FI17" i="1"/>
  <c r="FH17" i="1"/>
  <c r="FE17" i="1"/>
  <c r="FD17" i="1"/>
  <c r="FB17" i="1"/>
  <c r="BY17" i="1" s="1"/>
  <c r="EW17" i="1"/>
  <c r="EV17" i="1"/>
  <c r="EU17" i="1"/>
  <c r="ET17" i="1"/>
  <c r="EQ17" i="1"/>
  <c r="EP17" i="1"/>
  <c r="EN17" i="1"/>
  <c r="ES17" i="1" s="1"/>
  <c r="EB17" i="1"/>
  <c r="DM17" i="1"/>
  <c r="DL17" i="1"/>
  <c r="DK17" i="1"/>
  <c r="CX17" i="1"/>
  <c r="CU17" i="1"/>
  <c r="CM17" i="1"/>
  <c r="CJ17" i="1"/>
  <c r="CG17" i="1"/>
  <c r="FV17" i="1" s="1"/>
  <c r="GD17" i="1" s="1"/>
  <c r="AM17" i="1" s="1"/>
  <c r="CF17" i="1"/>
  <c r="BU17" i="1"/>
  <c r="BK17" i="1"/>
  <c r="BR17" i="1" s="1"/>
  <c r="BJ17" i="1"/>
  <c r="BO17" i="1" s="1"/>
  <c r="BB17" i="1"/>
  <c r="BA17" i="1"/>
  <c r="AZ17" i="1"/>
  <c r="AS17" i="1"/>
  <c r="AQ17" i="1"/>
  <c r="AP17" i="1"/>
  <c r="AN17" i="1"/>
  <c r="AH17" i="1"/>
  <c r="AE17" i="1"/>
  <c r="AA17" i="1"/>
  <c r="Z17" i="1"/>
  <c r="P17" i="1"/>
  <c r="N17" i="1"/>
  <c r="AB17" i="1" s="1"/>
  <c r="GN16" i="1"/>
  <c r="GL16" i="1"/>
  <c r="GJ16" i="1" s="1"/>
  <c r="GH16" i="1"/>
  <c r="GF16" i="1" s="1"/>
  <c r="GC16" i="1"/>
  <c r="FZ16" i="1"/>
  <c r="FX16" i="1"/>
  <c r="FR16" i="1"/>
  <c r="AX16" i="1" s="1"/>
  <c r="FN16" i="1"/>
  <c r="FJ16" i="1"/>
  <c r="CA16" i="1" s="1"/>
  <c r="CB16" i="1" s="1"/>
  <c r="FI16" i="1"/>
  <c r="FH16" i="1"/>
  <c r="FE16" i="1"/>
  <c r="FD16" i="1"/>
  <c r="FF16" i="1" s="1"/>
  <c r="FB16" i="1"/>
  <c r="BZ16" i="1" s="1"/>
  <c r="EW16" i="1"/>
  <c r="EV16" i="1"/>
  <c r="EU16" i="1"/>
  <c r="EP16" i="1"/>
  <c r="EN16" i="1"/>
  <c r="ER16" i="1" s="1"/>
  <c r="EB16" i="1"/>
  <c r="DK16" i="1"/>
  <c r="DM16" i="1" s="1"/>
  <c r="DA16" i="1"/>
  <c r="AT16" i="1" s="1"/>
  <c r="CX16" i="1"/>
  <c r="CU16" i="1"/>
  <c r="CM16" i="1"/>
  <c r="CG16" i="1"/>
  <c r="CJ16" i="1" s="1"/>
  <c r="CR16" i="1" s="1"/>
  <c r="AR16" i="1" s="1"/>
  <c r="CF16" i="1"/>
  <c r="BY16" i="1"/>
  <c r="BU16" i="1"/>
  <c r="BR16" i="1"/>
  <c r="BO16" i="1"/>
  <c r="BB16" i="1"/>
  <c r="BA16" i="1"/>
  <c r="AZ16" i="1"/>
  <c r="AS16" i="1"/>
  <c r="AQ16" i="1"/>
  <c r="AP16" i="1"/>
  <c r="AE16" i="1"/>
  <c r="AA16" i="1"/>
  <c r="Z16" i="1"/>
  <c r="N16" i="1"/>
  <c r="AB16" i="1" s="1"/>
  <c r="GN15" i="1"/>
  <c r="GL15" i="1"/>
  <c r="GJ15" i="1"/>
  <c r="GH15" i="1"/>
  <c r="AN15" i="1" s="1"/>
  <c r="GC15" i="1"/>
  <c r="FZ15" i="1"/>
  <c r="FX15" i="1"/>
  <c r="FR15" i="1"/>
  <c r="AX15" i="1" s="1"/>
  <c r="FN15" i="1"/>
  <c r="FI15" i="1"/>
  <c r="FH15" i="1"/>
  <c r="FJ15" i="1" s="1"/>
  <c r="FE15" i="1"/>
  <c r="FD15" i="1"/>
  <c r="FF15" i="1" s="1"/>
  <c r="FB15" i="1"/>
  <c r="EW15" i="1"/>
  <c r="EU15" i="1"/>
  <c r="ET15" i="1"/>
  <c r="ES15" i="1"/>
  <c r="ER15" i="1"/>
  <c r="EQ15" i="1"/>
  <c r="EP15" i="1"/>
  <c r="EN15" i="1"/>
  <c r="EV15" i="1" s="1"/>
  <c r="EB15" i="1"/>
  <c r="DM15" i="1"/>
  <c r="DL15" i="1"/>
  <c r="DK15" i="1"/>
  <c r="CX15" i="1"/>
  <c r="CU15" i="1"/>
  <c r="CM15" i="1"/>
  <c r="CJ15" i="1"/>
  <c r="CG15" i="1"/>
  <c r="FV15" i="1" s="1"/>
  <c r="FT15" i="1" s="1"/>
  <c r="BW15" i="1" s="1"/>
  <c r="CF15" i="1"/>
  <c r="CR15" i="1" s="1"/>
  <c r="AR15" i="1" s="1"/>
  <c r="BB15" i="1"/>
  <c r="BA15" i="1"/>
  <c r="AZ15" i="1"/>
  <c r="AS15" i="1"/>
  <c r="AQ15" i="1"/>
  <c r="AP15" i="1"/>
  <c r="AL15" i="1"/>
  <c r="AE15" i="1"/>
  <c r="AA15" i="1"/>
  <c r="Z15" i="1"/>
  <c r="P15" i="1"/>
  <c r="BX15" i="1" s="1"/>
  <c r="N15" i="1"/>
  <c r="GN14" i="1"/>
  <c r="GL14" i="1"/>
  <c r="GJ14" i="1" s="1"/>
  <c r="GH14" i="1"/>
  <c r="GF14" i="1" s="1"/>
  <c r="GC14" i="1"/>
  <c r="FZ14" i="1"/>
  <c r="FX14" i="1" s="1"/>
  <c r="FR14" i="1"/>
  <c r="FP14" i="1" s="1"/>
  <c r="FN14" i="1"/>
  <c r="FI14" i="1"/>
  <c r="FH14" i="1"/>
  <c r="FE14" i="1"/>
  <c r="FF14" i="1" s="1"/>
  <c r="FD14" i="1"/>
  <c r="FB14" i="1"/>
  <c r="ER14" i="1"/>
  <c r="EN14" i="1"/>
  <c r="EW14" i="1" s="1"/>
  <c r="EB14" i="1"/>
  <c r="DK14" i="1"/>
  <c r="DM14" i="1" s="1"/>
  <c r="CX14" i="1"/>
  <c r="CU14" i="1"/>
  <c r="DA14" i="1" s="1"/>
  <c r="AT14" i="1" s="1"/>
  <c r="CM14" i="1"/>
  <c r="CR14" i="1" s="1"/>
  <c r="AR14" i="1" s="1"/>
  <c r="CG14" i="1"/>
  <c r="CJ14" i="1" s="1"/>
  <c r="CF14" i="1"/>
  <c r="BB14" i="1"/>
  <c r="BA14" i="1"/>
  <c r="AZ14" i="1"/>
  <c r="AS14" i="1"/>
  <c r="AQ14" i="1"/>
  <c r="AP14" i="1"/>
  <c r="AN14" i="1"/>
  <c r="AE14" i="1"/>
  <c r="AC14" i="1"/>
  <c r="AA14" i="1"/>
  <c r="Z14" i="1"/>
  <c r="P14" i="1"/>
  <c r="R14" i="1" s="1"/>
  <c r="N14" i="1"/>
  <c r="AB14" i="1" s="1"/>
  <c r="GN13" i="1"/>
  <c r="GL13" i="1"/>
  <c r="GJ13" i="1" s="1"/>
  <c r="GH13" i="1"/>
  <c r="GF13" i="1" s="1"/>
  <c r="GC13" i="1"/>
  <c r="FZ13" i="1"/>
  <c r="FX13" i="1"/>
  <c r="FR13" i="1"/>
  <c r="AX13" i="1" s="1"/>
  <c r="FN13" i="1"/>
  <c r="FI13" i="1"/>
  <c r="FH13" i="1"/>
  <c r="FE13" i="1"/>
  <c r="FD13" i="1"/>
  <c r="FF13" i="1" s="1"/>
  <c r="FB13" i="1"/>
  <c r="BY13" i="1" s="1"/>
  <c r="EW13" i="1"/>
  <c r="EU13" i="1"/>
  <c r="ET13" i="1"/>
  <c r="ES13" i="1"/>
  <c r="ER13" i="1"/>
  <c r="EQ13" i="1"/>
  <c r="EP13" i="1"/>
  <c r="EN13" i="1"/>
  <c r="EV13" i="1" s="1"/>
  <c r="EB13" i="1"/>
  <c r="DM13" i="1"/>
  <c r="DK13" i="1"/>
  <c r="DL13" i="1" s="1"/>
  <c r="CX13" i="1"/>
  <c r="CU13" i="1"/>
  <c r="CM13" i="1"/>
  <c r="CJ13" i="1"/>
  <c r="CG13" i="1"/>
  <c r="FV13" i="1" s="1"/>
  <c r="CF13" i="1"/>
  <c r="BU13" i="1"/>
  <c r="BR13" i="1"/>
  <c r="BO13" i="1"/>
  <c r="BB13" i="1"/>
  <c r="BA13" i="1"/>
  <c r="AZ13" i="1"/>
  <c r="AS13" i="1"/>
  <c r="AQ13" i="1"/>
  <c r="AP13" i="1"/>
  <c r="AE13" i="1"/>
  <c r="AA13" i="1"/>
  <c r="Z13" i="1"/>
  <c r="N13" i="1"/>
  <c r="P13" i="1" s="1"/>
  <c r="AH13" i="1" s="1"/>
  <c r="GN12" i="1"/>
  <c r="GL12" i="1"/>
  <c r="GJ12" i="1" s="1"/>
  <c r="GH12" i="1"/>
  <c r="GF12" i="1" s="1"/>
  <c r="GC12" i="1"/>
  <c r="FZ12" i="1"/>
  <c r="FX12" i="1" s="1"/>
  <c r="FR12" i="1"/>
  <c r="AX12" i="1" s="1"/>
  <c r="FN12" i="1"/>
  <c r="FI12" i="1"/>
  <c r="FH12" i="1"/>
  <c r="FJ12" i="1" s="1"/>
  <c r="FE12" i="1"/>
  <c r="FD12" i="1"/>
  <c r="FB12" i="1"/>
  <c r="BY12" i="1" s="1"/>
  <c r="ET12" i="1"/>
  <c r="EQ12" i="1"/>
  <c r="EN12" i="1"/>
  <c r="ES12" i="1" s="1"/>
  <c r="EB12" i="1"/>
  <c r="DK12" i="1"/>
  <c r="DL12" i="1" s="1"/>
  <c r="CX12" i="1"/>
  <c r="CU12" i="1"/>
  <c r="CM12" i="1"/>
  <c r="CG12" i="1"/>
  <c r="FV12" i="1" s="1"/>
  <c r="CF12" i="1"/>
  <c r="BU12" i="1"/>
  <c r="BR12" i="1"/>
  <c r="BO12" i="1"/>
  <c r="BB12" i="1"/>
  <c r="BA12" i="1"/>
  <c r="AZ12" i="1"/>
  <c r="AS12" i="1"/>
  <c r="AQ12" i="1"/>
  <c r="AP12" i="1"/>
  <c r="AE12" i="1"/>
  <c r="AB12" i="1"/>
  <c r="AA12" i="1"/>
  <c r="Z12" i="1"/>
  <c r="P12" i="1"/>
  <c r="R12" i="1" s="1"/>
  <c r="N12" i="1"/>
  <c r="AD12" i="1" s="1"/>
  <c r="GN11" i="1"/>
  <c r="GL11" i="1"/>
  <c r="GJ11" i="1" s="1"/>
  <c r="GH11" i="1"/>
  <c r="GF11" i="1" s="1"/>
  <c r="GC11" i="1"/>
  <c r="FZ11" i="1"/>
  <c r="FX11" i="1" s="1"/>
  <c r="FR11" i="1"/>
  <c r="FP11" i="1" s="1"/>
  <c r="FN11" i="1"/>
  <c r="FJ11" i="1"/>
  <c r="CA11" i="1" s="1"/>
  <c r="CB11" i="1" s="1"/>
  <c r="FI11" i="1"/>
  <c r="FH11" i="1"/>
  <c r="FE11" i="1"/>
  <c r="FD11" i="1"/>
  <c r="FF11" i="1" s="1"/>
  <c r="BZ11" i="1" s="1"/>
  <c r="FB11" i="1"/>
  <c r="EV11" i="1"/>
  <c r="EP11" i="1"/>
  <c r="EN11" i="1"/>
  <c r="ER11" i="1" s="1"/>
  <c r="EB11" i="1"/>
  <c r="DL11" i="1"/>
  <c r="DK11" i="1"/>
  <c r="DM11" i="1" s="1"/>
  <c r="CX11" i="1"/>
  <c r="CU11" i="1"/>
  <c r="CM11" i="1"/>
  <c r="CG11" i="1"/>
  <c r="CJ11" i="1" s="1"/>
  <c r="CR11" i="1" s="1"/>
  <c r="AR11" i="1" s="1"/>
  <c r="CF11" i="1"/>
  <c r="BY11" i="1"/>
  <c r="BU11" i="1"/>
  <c r="BR11" i="1"/>
  <c r="BK11" i="1"/>
  <c r="BJ11" i="1"/>
  <c r="BO11" i="1" s="1"/>
  <c r="BB11" i="1"/>
  <c r="BA11" i="1"/>
  <c r="AZ11" i="1"/>
  <c r="AS11" i="1"/>
  <c r="AQ11" i="1"/>
  <c r="AP11" i="1"/>
  <c r="AN11" i="1"/>
  <c r="AE11" i="1"/>
  <c r="AC11" i="1"/>
  <c r="AA11" i="1"/>
  <c r="Z11" i="1"/>
  <c r="N11" i="1"/>
  <c r="P11" i="1" s="1"/>
  <c r="GN10" i="1"/>
  <c r="GL10" i="1"/>
  <c r="GJ10" i="1" s="1"/>
  <c r="GH10" i="1"/>
  <c r="AN10" i="1" s="1"/>
  <c r="GC10" i="1"/>
  <c r="FZ10" i="1"/>
  <c r="FX10" i="1" s="1"/>
  <c r="FR10" i="1"/>
  <c r="AX10" i="1" s="1"/>
  <c r="FN10" i="1"/>
  <c r="FI10" i="1"/>
  <c r="FJ10" i="1" s="1"/>
  <c r="CA10" i="1" s="1"/>
  <c r="CB10" i="1" s="1"/>
  <c r="FH10" i="1"/>
  <c r="FE10" i="1"/>
  <c r="FD10" i="1"/>
  <c r="FF10" i="1" s="1"/>
  <c r="FB10" i="1"/>
  <c r="ES10" i="1"/>
  <c r="EN10" i="1"/>
  <c r="EQ10" i="1" s="1"/>
  <c r="EB10" i="1"/>
  <c r="DK10" i="1"/>
  <c r="DM10" i="1" s="1"/>
  <c r="CX10" i="1"/>
  <c r="CU10" i="1"/>
  <c r="DA10" i="1" s="1"/>
  <c r="AT10" i="1" s="1"/>
  <c r="CM10" i="1"/>
  <c r="CG10" i="1"/>
  <c r="CJ10" i="1" s="1"/>
  <c r="CR10" i="1" s="1"/>
  <c r="AR10" i="1" s="1"/>
  <c r="CF10" i="1"/>
  <c r="BB10" i="1"/>
  <c r="BA10" i="1"/>
  <c r="AZ10" i="1"/>
  <c r="AS10" i="1"/>
  <c r="AQ10" i="1"/>
  <c r="AP10" i="1"/>
  <c r="AE10" i="1"/>
  <c r="AD10" i="1"/>
  <c r="AC10" i="1"/>
  <c r="AA10" i="1"/>
  <c r="Z10" i="1"/>
  <c r="R10" i="1"/>
  <c r="P10" i="1"/>
  <c r="BX10" i="1" s="1"/>
  <c r="N10" i="1"/>
  <c r="AB10" i="1" s="1"/>
  <c r="GN9" i="1"/>
  <c r="GL9" i="1"/>
  <c r="GJ9" i="1" s="1"/>
  <c r="GH9" i="1"/>
  <c r="AN9" i="1" s="1"/>
  <c r="GC9" i="1"/>
  <c r="FZ9" i="1"/>
  <c r="FX9" i="1" s="1"/>
  <c r="FR9" i="1"/>
  <c r="FP9" i="1" s="1"/>
  <c r="FN9" i="1"/>
  <c r="FI9" i="1"/>
  <c r="FH9" i="1"/>
  <c r="FJ9" i="1" s="1"/>
  <c r="CA9" i="1" s="1"/>
  <c r="CB9" i="1" s="1"/>
  <c r="FE9" i="1"/>
  <c r="FD9" i="1"/>
  <c r="FB9" i="1"/>
  <c r="BY9" i="1" s="1"/>
  <c r="EU9" i="1"/>
  <c r="EQ9" i="1"/>
  <c r="EN9" i="1"/>
  <c r="EW9" i="1" s="1"/>
  <c r="EB9" i="1"/>
  <c r="DM9" i="1"/>
  <c r="DL9" i="1"/>
  <c r="DK9" i="1"/>
  <c r="CX9" i="1"/>
  <c r="CU9" i="1"/>
  <c r="DA9" i="1" s="1"/>
  <c r="AT9" i="1" s="1"/>
  <c r="CM9" i="1"/>
  <c r="CG9" i="1"/>
  <c r="FV9" i="1" s="1"/>
  <c r="CF9" i="1"/>
  <c r="BU9" i="1"/>
  <c r="BR9" i="1"/>
  <c r="BO9" i="1"/>
  <c r="BB9" i="1"/>
  <c r="BA9" i="1"/>
  <c r="AZ9" i="1"/>
  <c r="AS9" i="1"/>
  <c r="AQ9" i="1"/>
  <c r="AP9" i="1"/>
  <c r="AE9" i="1"/>
  <c r="AA9" i="1"/>
  <c r="Z9" i="1"/>
  <c r="N9" i="1"/>
  <c r="AD9" i="1" s="1"/>
  <c r="GN8" i="1"/>
  <c r="GL8" i="1"/>
  <c r="GJ8" i="1" s="1"/>
  <c r="GH8" i="1"/>
  <c r="GF8" i="1"/>
  <c r="GC8" i="1"/>
  <c r="FZ8" i="1"/>
  <c r="FX8" i="1" s="1"/>
  <c r="FV8" i="1"/>
  <c r="GD8" i="1" s="1"/>
  <c r="AM8" i="1" s="1"/>
  <c r="FR8" i="1"/>
  <c r="AX8" i="1" s="1"/>
  <c r="FN8" i="1"/>
  <c r="FI8" i="1"/>
  <c r="FH8" i="1"/>
  <c r="FJ8" i="1" s="1"/>
  <c r="CA8" i="1" s="1"/>
  <c r="CB8" i="1" s="1"/>
  <c r="FE8" i="1"/>
  <c r="FD8" i="1"/>
  <c r="FB8" i="1"/>
  <c r="EN8" i="1"/>
  <c r="ET8" i="1" s="1"/>
  <c r="EB8" i="1"/>
  <c r="DK8" i="1"/>
  <c r="DM8" i="1" s="1"/>
  <c r="DA8" i="1"/>
  <c r="AT8" i="1" s="1"/>
  <c r="CX8" i="1"/>
  <c r="CU8" i="1"/>
  <c r="CM8" i="1"/>
  <c r="CG8" i="1"/>
  <c r="CJ8" i="1" s="1"/>
  <c r="CF8" i="1"/>
  <c r="BY8" i="1"/>
  <c r="BB8" i="1"/>
  <c r="BA8" i="1"/>
  <c r="AZ8" i="1"/>
  <c r="AS8" i="1"/>
  <c r="AQ8" i="1"/>
  <c r="AP8" i="1"/>
  <c r="AN8" i="1"/>
  <c r="AL8" i="1"/>
  <c r="AE8" i="1"/>
  <c r="AA8" i="1"/>
  <c r="Z8" i="1"/>
  <c r="N8" i="1"/>
  <c r="P8" i="1" s="1"/>
  <c r="GN7" i="1"/>
  <c r="GL7" i="1"/>
  <c r="GJ7" i="1" s="1"/>
  <c r="GH7" i="1"/>
  <c r="AN7" i="1" s="1"/>
  <c r="GC7" i="1"/>
  <c r="FZ7" i="1"/>
  <c r="FX7" i="1" s="1"/>
  <c r="FR7" i="1"/>
  <c r="AX7" i="1" s="1"/>
  <c r="FN7" i="1"/>
  <c r="FI7" i="1"/>
  <c r="FH7" i="1"/>
  <c r="FF7" i="1"/>
  <c r="FE7" i="1"/>
  <c r="FD7" i="1"/>
  <c r="FB7" i="1"/>
  <c r="EN7" i="1"/>
  <c r="EW7" i="1" s="1"/>
  <c r="EB7" i="1"/>
  <c r="DL7" i="1"/>
  <c r="DK7" i="1"/>
  <c r="DM7" i="1" s="1"/>
  <c r="CX7" i="1"/>
  <c r="CU7" i="1"/>
  <c r="DA7" i="1" s="1"/>
  <c r="AT7" i="1" s="1"/>
  <c r="CM7" i="1"/>
  <c r="CG7" i="1"/>
  <c r="FV7" i="1" s="1"/>
  <c r="CF7" i="1"/>
  <c r="BY7" i="1"/>
  <c r="BU7" i="1"/>
  <c r="BR7" i="1"/>
  <c r="BO7" i="1"/>
  <c r="BB7" i="1"/>
  <c r="BA7" i="1"/>
  <c r="AZ7" i="1"/>
  <c r="AS7" i="1"/>
  <c r="AQ7" i="1"/>
  <c r="AP7" i="1"/>
  <c r="AE7" i="1"/>
  <c r="AD7" i="1"/>
  <c r="AC7" i="1"/>
  <c r="AB7" i="1"/>
  <c r="AA7" i="1"/>
  <c r="Z7" i="1"/>
  <c r="N7" i="1"/>
  <c r="P7" i="1" s="1"/>
  <c r="GN6" i="1"/>
  <c r="GL6" i="1"/>
  <c r="GJ6" i="1" s="1"/>
  <c r="GH6" i="1"/>
  <c r="GF6" i="1"/>
  <c r="GC6" i="1"/>
  <c r="FZ6" i="1"/>
  <c r="FX6" i="1" s="1"/>
  <c r="FV6" i="1"/>
  <c r="AL6" i="1" s="1"/>
  <c r="FR6" i="1"/>
  <c r="AX6" i="1" s="1"/>
  <c r="FP6" i="1"/>
  <c r="FN6" i="1"/>
  <c r="FI6" i="1"/>
  <c r="FH6" i="1"/>
  <c r="FF6" i="1"/>
  <c r="FE6" i="1"/>
  <c r="FD6" i="1"/>
  <c r="FB6" i="1"/>
  <c r="BZ6" i="1" s="1"/>
  <c r="EW6" i="1"/>
  <c r="EP6" i="1"/>
  <c r="EN6" i="1"/>
  <c r="EV6" i="1" s="1"/>
  <c r="EB6" i="1"/>
  <c r="DK6" i="1"/>
  <c r="DM6" i="1" s="1"/>
  <c r="CX6" i="1"/>
  <c r="CU6" i="1"/>
  <c r="CM6" i="1"/>
  <c r="CG6" i="1"/>
  <c r="CJ6" i="1" s="1"/>
  <c r="CF6" i="1"/>
  <c r="CR6" i="1" s="1"/>
  <c r="AR6" i="1" s="1"/>
  <c r="BU6" i="1"/>
  <c r="BR6" i="1"/>
  <c r="BO6" i="1"/>
  <c r="BB6" i="1"/>
  <c r="BA6" i="1"/>
  <c r="AZ6" i="1"/>
  <c r="AS6" i="1"/>
  <c r="AQ6" i="1"/>
  <c r="AP6" i="1"/>
  <c r="AN6" i="1"/>
  <c r="AE6" i="1"/>
  <c r="AA6" i="1"/>
  <c r="Z6" i="1"/>
  <c r="N6" i="1"/>
  <c r="AC6" i="1" s="1"/>
  <c r="GN5" i="1"/>
  <c r="GL5" i="1"/>
  <c r="GH5" i="1"/>
  <c r="GF5" i="1" s="1"/>
  <c r="GC5" i="1"/>
  <c r="FZ5" i="1"/>
  <c r="FX5" i="1" s="1"/>
  <c r="FR5" i="1"/>
  <c r="FP5" i="1"/>
  <c r="FN5" i="1"/>
  <c r="FI5" i="1"/>
  <c r="FH5" i="1"/>
  <c r="FE5" i="1"/>
  <c r="FD5" i="1"/>
  <c r="FB5" i="1"/>
  <c r="EN5" i="1"/>
  <c r="EW5" i="1" s="1"/>
  <c r="EB5" i="1"/>
  <c r="DK5" i="1"/>
  <c r="DM5" i="1" s="1"/>
  <c r="CX5" i="1"/>
  <c r="CU5" i="1"/>
  <c r="CM5" i="1"/>
  <c r="CJ5" i="1"/>
  <c r="CG5" i="1"/>
  <c r="FV5" i="1" s="1"/>
  <c r="CF5" i="1"/>
  <c r="BU5" i="1"/>
  <c r="BR5" i="1"/>
  <c r="BO5" i="1"/>
  <c r="BB5" i="1"/>
  <c r="BA5" i="1"/>
  <c r="AZ5" i="1"/>
  <c r="AS5" i="1"/>
  <c r="AQ5" i="1"/>
  <c r="AP5" i="1"/>
  <c r="AE5" i="1"/>
  <c r="AD5" i="1"/>
  <c r="AC5" i="1"/>
  <c r="AB5" i="1"/>
  <c r="AA5" i="1"/>
  <c r="Z5" i="1"/>
  <c r="P5" i="1"/>
  <c r="R5" i="1" s="1"/>
  <c r="N5" i="1"/>
  <c r="R8" i="1" l="1"/>
  <c r="BX8" i="1"/>
  <c r="FT9" i="1"/>
  <c r="BW9" i="1" s="1"/>
  <c r="GD9" i="1"/>
  <c r="AM9" i="1" s="1"/>
  <c r="AL21" i="1"/>
  <c r="GD21" i="1"/>
  <c r="AM21" i="1" s="1"/>
  <c r="AL28" i="1"/>
  <c r="GD28" i="1"/>
  <c r="AM28" i="1" s="1"/>
  <c r="GD5" i="1"/>
  <c r="GB5" i="1" s="1"/>
  <c r="FT5" i="1"/>
  <c r="BW5" i="1" s="1"/>
  <c r="BX7" i="1"/>
  <c r="R7" i="1"/>
  <c r="V7" i="1" s="1"/>
  <c r="X7" i="1" s="1"/>
  <c r="AL24" i="1"/>
  <c r="FT24" i="1"/>
  <c r="BW24" i="1" s="1"/>
  <c r="AL25" i="1"/>
  <c r="GD25" i="1"/>
  <c r="AM25" i="1" s="1"/>
  <c r="FV20" i="1"/>
  <c r="BZ50" i="1"/>
  <c r="BZ52" i="1"/>
  <c r="EQ5" i="1"/>
  <c r="AB8" i="1"/>
  <c r="EP8" i="1"/>
  <c r="AB9" i="1"/>
  <c r="CR9" i="1"/>
  <c r="AR9" i="1" s="1"/>
  <c r="DM12" i="1"/>
  <c r="BZ13" i="1"/>
  <c r="DL14" i="1"/>
  <c r="P16" i="1"/>
  <c r="ES19" i="1"/>
  <c r="AD23" i="1"/>
  <c r="ET24" i="1"/>
  <c r="FP25" i="1"/>
  <c r="P26" i="1"/>
  <c r="P27" i="1"/>
  <c r="R27" i="1" s="1"/>
  <c r="EQ27" i="1"/>
  <c r="FJ30" i="1"/>
  <c r="CA30" i="1" s="1"/>
  <c r="CB30" i="1" s="1"/>
  <c r="EP34" i="1"/>
  <c r="AX36" i="1"/>
  <c r="EU37" i="1"/>
  <c r="GF37" i="1"/>
  <c r="DA38" i="1"/>
  <c r="AT38" i="1" s="1"/>
  <c r="GD38" i="1"/>
  <c r="AM38" i="1" s="1"/>
  <c r="EP40" i="1"/>
  <c r="EX40" i="1" s="1"/>
  <c r="CR41" i="1"/>
  <c r="AR41" i="1" s="1"/>
  <c r="EU44" i="1"/>
  <c r="AD47" i="1"/>
  <c r="FF50" i="1"/>
  <c r="AD52" i="1"/>
  <c r="FF52" i="1"/>
  <c r="EX15" i="1"/>
  <c r="ET5" i="1"/>
  <c r="AC8" i="1"/>
  <c r="EQ8" i="1"/>
  <c r="FJ14" i="1"/>
  <c r="CA14" i="1" s="1"/>
  <c r="CB14" i="1" s="1"/>
  <c r="EU24" i="1"/>
  <c r="ER27" i="1"/>
  <c r="EX27" i="1" s="1"/>
  <c r="AN33" i="1"/>
  <c r="ER34" i="1"/>
  <c r="EV37" i="1"/>
  <c r="ER40" i="1"/>
  <c r="EW44" i="1"/>
  <c r="AH45" i="1"/>
  <c r="BZ46" i="1"/>
  <c r="EU5" i="1"/>
  <c r="BY6" i="1"/>
  <c r="ET6" i="1"/>
  <c r="EP7" i="1"/>
  <c r="AD8" i="1"/>
  <c r="CR8" i="1"/>
  <c r="AR8" i="1" s="1"/>
  <c r="ER8" i="1"/>
  <c r="CJ9" i="1"/>
  <c r="FF9" i="1"/>
  <c r="FP10" i="1"/>
  <c r="AN13" i="1"/>
  <c r="FP13" i="1"/>
  <c r="FP15" i="1"/>
  <c r="ET18" i="1"/>
  <c r="GF20" i="1"/>
  <c r="EP22" i="1"/>
  <c r="EV24" i="1"/>
  <c r="AN25" i="1"/>
  <c r="CJ25" i="1"/>
  <c r="ES27" i="1"/>
  <c r="EP28" i="1"/>
  <c r="FP28" i="1"/>
  <c r="EP31" i="1"/>
  <c r="GD32" i="1"/>
  <c r="GB32" i="1" s="1"/>
  <c r="DL36" i="1"/>
  <c r="EW37" i="1"/>
  <c r="ES40" i="1"/>
  <c r="BZ41" i="1"/>
  <c r="AC43" i="1"/>
  <c r="AN45" i="1"/>
  <c r="ES46" i="1"/>
  <c r="ES49" i="1"/>
  <c r="EP51" i="1"/>
  <c r="AN5" i="1"/>
  <c r="EV5" i="1"/>
  <c r="ET7" i="1"/>
  <c r="GF7" i="1"/>
  <c r="EU8" i="1"/>
  <c r="CR13" i="1"/>
  <c r="AR13" i="1" s="1"/>
  <c r="ET22" i="1"/>
  <c r="EW24" i="1"/>
  <c r="AD27" i="1"/>
  <c r="ET27" i="1"/>
  <c r="FV27" i="1"/>
  <c r="EQ28" i="1"/>
  <c r="EQ31" i="1"/>
  <c r="BZ34" i="1"/>
  <c r="DL38" i="1"/>
  <c r="ET40" i="1"/>
  <c r="EQ42" i="1"/>
  <c r="AD43" i="1"/>
  <c r="DL43" i="1"/>
  <c r="CR44" i="1"/>
  <c r="AR44" i="1" s="1"/>
  <c r="ET46" i="1"/>
  <c r="ET49" i="1"/>
  <c r="CJ50" i="1"/>
  <c r="CR50" i="1" s="1"/>
  <c r="AR50" i="1" s="1"/>
  <c r="EQ51" i="1"/>
  <c r="CJ52" i="1"/>
  <c r="CR52" i="1" s="1"/>
  <c r="AR52" i="1" s="1"/>
  <c r="AS53" i="1"/>
  <c r="AN18" i="1"/>
  <c r="CR18" i="1"/>
  <c r="AR18" i="1" s="1"/>
  <c r="CJ19" i="1"/>
  <c r="CR19" i="1" s="1"/>
  <c r="AR19" i="1" s="1"/>
  <c r="FF20" i="1"/>
  <c r="EW22" i="1"/>
  <c r="CJ23" i="1"/>
  <c r="CR23" i="1" s="1"/>
  <c r="AR23" i="1" s="1"/>
  <c r="CA23" i="1"/>
  <c r="CB23" i="1" s="1"/>
  <c r="BZ24" i="1"/>
  <c r="EW25" i="1"/>
  <c r="AD26" i="1"/>
  <c r="EP26" i="1"/>
  <c r="EX26" i="1" s="1"/>
  <c r="FV26" i="1"/>
  <c r="AL26" i="1" s="1"/>
  <c r="EU27" i="1"/>
  <c r="ET28" i="1"/>
  <c r="AB29" i="1"/>
  <c r="AL31" i="1"/>
  <c r="EU31" i="1"/>
  <c r="EU32" i="1"/>
  <c r="CJ40" i="1"/>
  <c r="CR40" i="1" s="1"/>
  <c r="AR40" i="1" s="1"/>
  <c r="EU40" i="1"/>
  <c r="ES42" i="1"/>
  <c r="EU46" i="1"/>
  <c r="CR47" i="1"/>
  <c r="AR47" i="1" s="1"/>
  <c r="CR48" i="1"/>
  <c r="AR48" i="1" s="1"/>
  <c r="EU49" i="1"/>
  <c r="ER51" i="1"/>
  <c r="AP53" i="1"/>
  <c r="EX13" i="1"/>
  <c r="EW8" i="1"/>
  <c r="AX9" i="1"/>
  <c r="FV10" i="1"/>
  <c r="ES11" i="1"/>
  <c r="AC12" i="1"/>
  <c r="EU12" i="1"/>
  <c r="DA13" i="1"/>
  <c r="AT13" i="1" s="1"/>
  <c r="AD14" i="1"/>
  <c r="ES14" i="1"/>
  <c r="AC16" i="1"/>
  <c r="FF17" i="1"/>
  <c r="CA19" i="1"/>
  <c r="CB19" i="1" s="1"/>
  <c r="FF21" i="1"/>
  <c r="ET26" i="1"/>
  <c r="EV27" i="1"/>
  <c r="EU28" i="1"/>
  <c r="AC29" i="1"/>
  <c r="FV30" i="1"/>
  <c r="CR32" i="1"/>
  <c r="AR32" i="1" s="1"/>
  <c r="P39" i="1"/>
  <c r="AH39" i="1" s="1"/>
  <c r="DA39" i="1"/>
  <c r="AT39" i="1" s="1"/>
  <c r="CA39" i="1"/>
  <c r="CB39" i="1" s="1"/>
  <c r="EV40" i="1"/>
  <c r="ET42" i="1"/>
  <c r="AL43" i="1"/>
  <c r="CJ45" i="1"/>
  <c r="CR45" i="1" s="1"/>
  <c r="AR45" i="1" s="1"/>
  <c r="EW46" i="1"/>
  <c r="DA47" i="1"/>
  <c r="AT47" i="1" s="1"/>
  <c r="EW49" i="1"/>
  <c r="ET51" i="1"/>
  <c r="EV8" i="1"/>
  <c r="AX17" i="1"/>
  <c r="ET11" i="1"/>
  <c r="EV12" i="1"/>
  <c r="EV14" i="1"/>
  <c r="AD16" i="1"/>
  <c r="DA23" i="1"/>
  <c r="AT23" i="1" s="1"/>
  <c r="EW26" i="1"/>
  <c r="EW27" i="1"/>
  <c r="GF27" i="1"/>
  <c r="EV28" i="1"/>
  <c r="AD29" i="1"/>
  <c r="FF32" i="1"/>
  <c r="BZ32" i="1" s="1"/>
  <c r="DA34" i="1"/>
  <c r="AT34" i="1" s="1"/>
  <c r="FJ37" i="1"/>
  <c r="CA37" i="1" s="1"/>
  <c r="CB37" i="1" s="1"/>
  <c r="EW40" i="1"/>
  <c r="EU42" i="1"/>
  <c r="GD42" i="1"/>
  <c r="CA43" i="1"/>
  <c r="CB43" i="1" s="1"/>
  <c r="AX45" i="1"/>
  <c r="CR46" i="1"/>
  <c r="AR46" i="1" s="1"/>
  <c r="FF47" i="1"/>
  <c r="BZ47" i="1" s="1"/>
  <c r="AX48" i="1"/>
  <c r="CX53" i="1"/>
  <c r="DA6" i="1"/>
  <c r="AT6" i="1" s="1"/>
  <c r="BZ7" i="1"/>
  <c r="FF8" i="1"/>
  <c r="AI10" i="1"/>
  <c r="BZ10" i="1"/>
  <c r="EU11" i="1"/>
  <c r="GD12" i="1"/>
  <c r="GB12" i="1" s="1"/>
  <c r="EW12" i="1"/>
  <c r="AH14" i="1"/>
  <c r="FJ17" i="1"/>
  <c r="CA17" i="1" s="1"/>
  <c r="CB17" i="1" s="1"/>
  <c r="DA18" i="1"/>
  <c r="AT18" i="1" s="1"/>
  <c r="BZ18" i="1"/>
  <c r="DA19" i="1"/>
  <c r="AT19" i="1" s="1"/>
  <c r="FJ21" i="1"/>
  <c r="CA21" i="1" s="1"/>
  <c r="CB21" i="1" s="1"/>
  <c r="DA28" i="1"/>
  <c r="AT28" i="1" s="1"/>
  <c r="EW28" i="1"/>
  <c r="BZ33" i="1"/>
  <c r="EW42" i="1"/>
  <c r="DA51" i="1"/>
  <c r="AT51" i="1" s="1"/>
  <c r="FF51" i="1"/>
  <c r="BZ51" i="1" s="1"/>
  <c r="N53" i="1"/>
  <c r="AL29" i="1"/>
  <c r="EX29" i="1"/>
  <c r="CA33" i="1"/>
  <c r="CB33" i="1" s="1"/>
  <c r="EX43" i="1"/>
  <c r="GL53" i="1"/>
  <c r="FJ6" i="1"/>
  <c r="CA6" i="1" s="1"/>
  <c r="CB6" i="1" s="1"/>
  <c r="DL8" i="1"/>
  <c r="P9" i="1"/>
  <c r="BX9" i="1" s="1"/>
  <c r="BY10" i="1"/>
  <c r="AX11" i="1"/>
  <c r="EW11" i="1"/>
  <c r="DA12" i="1"/>
  <c r="AT12" i="1" s="1"/>
  <c r="FF12" i="1"/>
  <c r="AN16" i="1"/>
  <c r="ES16" i="1"/>
  <c r="ER20" i="1"/>
  <c r="AB21" i="1"/>
  <c r="FJ22" i="1"/>
  <c r="CA22" i="1" s="1"/>
  <c r="CB22" i="1" s="1"/>
  <c r="P23" i="1"/>
  <c r="AH23" i="1" s="1"/>
  <c r="EQ24" i="1"/>
  <c r="EX24" i="1" s="1"/>
  <c r="FJ25" i="1"/>
  <c r="FF28" i="1"/>
  <c r="BZ28" i="1" s="1"/>
  <c r="ES29" i="1"/>
  <c r="DM34" i="1"/>
  <c r="EP37" i="1"/>
  <c r="ES38" i="1"/>
  <c r="AB39" i="1"/>
  <c r="DM40" i="1"/>
  <c r="FV41" i="1"/>
  <c r="AL41" i="1" s="1"/>
  <c r="CR43" i="1"/>
  <c r="AR43" i="1" s="1"/>
  <c r="FJ47" i="1"/>
  <c r="CA47" i="1" s="1"/>
  <c r="CB47" i="1" s="1"/>
  <c r="DA48" i="1"/>
  <c r="AT48" i="1" s="1"/>
  <c r="AX51" i="1"/>
  <c r="AQ53" i="1"/>
  <c r="DL6" i="1"/>
  <c r="DA11" i="1"/>
  <c r="AT11" i="1" s="1"/>
  <c r="ET16" i="1"/>
  <c r="ES20" i="1"/>
  <c r="AC21" i="1"/>
  <c r="FP21" i="1"/>
  <c r="ER24" i="1"/>
  <c r="AB25" i="1"/>
  <c r="DA26" i="1"/>
  <c r="AT26" i="1" s="1"/>
  <c r="CR29" i="1"/>
  <c r="AR29" i="1" s="1"/>
  <c r="FT29" i="1"/>
  <c r="BW29" i="1" s="1"/>
  <c r="AD30" i="1"/>
  <c r="FF30" i="1"/>
  <c r="BZ30" i="1" s="1"/>
  <c r="FJ31" i="1"/>
  <c r="CA31" i="1" s="1"/>
  <c r="CB31" i="1" s="1"/>
  <c r="AH32" i="1"/>
  <c r="DA35" i="1"/>
  <c r="AT35" i="1" s="1"/>
  <c r="EQ37" i="1"/>
  <c r="EU38" i="1"/>
  <c r="FV39" i="1"/>
  <c r="AL39" i="1" s="1"/>
  <c r="EP41" i="1"/>
  <c r="FF42" i="1"/>
  <c r="BZ42" i="1" s="1"/>
  <c r="AB44" i="1"/>
  <c r="AX46" i="1"/>
  <c r="BY52" i="1"/>
  <c r="EW52" i="1"/>
  <c r="V8" i="1"/>
  <c r="X8" i="1" s="1"/>
  <c r="AI8" i="1"/>
  <c r="FT13" i="1"/>
  <c r="BW13" i="1" s="1"/>
  <c r="AL13" i="1"/>
  <c r="GD13" i="1"/>
  <c r="AM13" i="1" s="1"/>
  <c r="AG7" i="1"/>
  <c r="AF7" i="1"/>
  <c r="R11" i="1"/>
  <c r="AH11" i="1"/>
  <c r="BX11" i="1"/>
  <c r="V5" i="1"/>
  <c r="X5" i="1" s="1"/>
  <c r="AI5" i="1"/>
  <c r="AM12" i="1"/>
  <c r="GB8" i="1"/>
  <c r="BZ14" i="1"/>
  <c r="CR7" i="1"/>
  <c r="AR7" i="1" s="1"/>
  <c r="FT7" i="1"/>
  <c r="BW7" i="1" s="1"/>
  <c r="AL7" i="1"/>
  <c r="GD7" i="1"/>
  <c r="AM7" i="1" s="1"/>
  <c r="CA7" i="1"/>
  <c r="CB7" i="1" s="1"/>
  <c r="V12" i="1"/>
  <c r="X12" i="1" s="1"/>
  <c r="AI12" i="1"/>
  <c r="V14" i="1"/>
  <c r="X14" i="1" s="1"/>
  <c r="AI14" i="1"/>
  <c r="P20" i="1"/>
  <c r="AD20" i="1"/>
  <c r="AB20" i="1"/>
  <c r="CU53" i="1"/>
  <c r="GJ5" i="1"/>
  <c r="GJ53" i="1" s="1"/>
  <c r="AD6" i="1"/>
  <c r="FT6" i="1"/>
  <c r="BW6" i="1" s="1"/>
  <c r="AH7" i="1"/>
  <c r="FP8" i="1"/>
  <c r="FP53" i="1" s="1"/>
  <c r="BZ9" i="1"/>
  <c r="AH10" i="1"/>
  <c r="ER10" i="1"/>
  <c r="GF10" i="1"/>
  <c r="AB11" i="1"/>
  <c r="AL12" i="1"/>
  <c r="FP12" i="1"/>
  <c r="AD15" i="1"/>
  <c r="AB15" i="1"/>
  <c r="CA15" i="1"/>
  <c r="CB15" i="1" s="1"/>
  <c r="GB17" i="1"/>
  <c r="BX19" i="1"/>
  <c r="R19" i="1"/>
  <c r="DM23" i="1"/>
  <c r="DL23" i="1"/>
  <c r="GF36" i="1"/>
  <c r="AN36" i="1"/>
  <c r="P37" i="1"/>
  <c r="AD37" i="1"/>
  <c r="AC37" i="1"/>
  <c r="AB37" i="1"/>
  <c r="AI7" i="1"/>
  <c r="BX5" i="1"/>
  <c r="DA5" i="1"/>
  <c r="FR53" i="1"/>
  <c r="AX53" i="1" s="1"/>
  <c r="CJ7" i="1"/>
  <c r="EQ7" i="1"/>
  <c r="FT8" i="1"/>
  <c r="BW8" i="1" s="1"/>
  <c r="V10" i="1"/>
  <c r="X10" i="1" s="1"/>
  <c r="ET10" i="1"/>
  <c r="AD11" i="1"/>
  <c r="AN12" i="1"/>
  <c r="FT12" i="1"/>
  <c r="BW12" i="1" s="1"/>
  <c r="R13" i="1"/>
  <c r="AX14" i="1"/>
  <c r="R15" i="1"/>
  <c r="DL16" i="1"/>
  <c r="AI18" i="1"/>
  <c r="BZ21" i="1"/>
  <c r="BY21" i="1"/>
  <c r="AI22" i="1"/>
  <c r="FV22" i="1"/>
  <c r="EV23" i="1"/>
  <c r="EU23" i="1"/>
  <c r="ET23" i="1"/>
  <c r="ER23" i="1"/>
  <c r="EQ23" i="1"/>
  <c r="EP23" i="1"/>
  <c r="CA25" i="1"/>
  <c r="CB25" i="1" s="1"/>
  <c r="BY5" i="1"/>
  <c r="DK53" i="1"/>
  <c r="ER7" i="1"/>
  <c r="BZ8" i="1"/>
  <c r="GB9" i="1"/>
  <c r="EU10" i="1"/>
  <c r="FJ13" i="1"/>
  <c r="CA13" i="1" s="1"/>
  <c r="CB13" i="1" s="1"/>
  <c r="FV14" i="1"/>
  <c r="AX20" i="1"/>
  <c r="CR25" i="1"/>
  <c r="AR25" i="1" s="1"/>
  <c r="AM32" i="1"/>
  <c r="AH35" i="1"/>
  <c r="DL5" i="1"/>
  <c r="P6" i="1"/>
  <c r="ES7" i="1"/>
  <c r="FJ7" i="1"/>
  <c r="R9" i="1"/>
  <c r="EP9" i="1"/>
  <c r="EV10" i="1"/>
  <c r="BX12" i="1"/>
  <c r="BZ12" i="1"/>
  <c r="AL18" i="1"/>
  <c r="GD18" i="1"/>
  <c r="AM18" i="1" s="1"/>
  <c r="DM19" i="1"/>
  <c r="DL19" i="1"/>
  <c r="CR20" i="1"/>
  <c r="AR20" i="1" s="1"/>
  <c r="FX20" i="1"/>
  <c r="GD20" i="1"/>
  <c r="CR22" i="1"/>
  <c r="AR22" i="1" s="1"/>
  <c r="R25" i="1"/>
  <c r="AH25" i="1"/>
  <c r="BX25" i="1"/>
  <c r="BZ27" i="1"/>
  <c r="V35" i="1"/>
  <c r="X35" i="1" s="1"/>
  <c r="AI35" i="1"/>
  <c r="FT36" i="1"/>
  <c r="BW36" i="1" s="1"/>
  <c r="GD36" i="1"/>
  <c r="AL36" i="1"/>
  <c r="FB53" i="1"/>
  <c r="EW10" i="1"/>
  <c r="FV11" i="1"/>
  <c r="BZ17" i="1"/>
  <c r="AN23" i="1"/>
  <c r="GF23" i="1"/>
  <c r="V27" i="1"/>
  <c r="X27" i="1" s="1"/>
  <c r="AI27" i="1"/>
  <c r="AM33" i="1"/>
  <c r="GB33" i="1"/>
  <c r="GD34" i="1"/>
  <c r="AM34" i="1" s="1"/>
  <c r="AL34" i="1"/>
  <c r="FT34" i="1"/>
  <c r="BW34" i="1" s="1"/>
  <c r="AX5" i="1"/>
  <c r="EB53" i="1"/>
  <c r="FD53" i="1"/>
  <c r="FZ53" i="1"/>
  <c r="EQ6" i="1"/>
  <c r="GD6" i="1"/>
  <c r="AM6" i="1" s="1"/>
  <c r="EU7" i="1"/>
  <c r="FP7" i="1"/>
  <c r="AJ7" i="1" s="1"/>
  <c r="AL9" i="1"/>
  <c r="ER9" i="1"/>
  <c r="GF9" i="1"/>
  <c r="DL10" i="1"/>
  <c r="CA12" i="1"/>
  <c r="CB12" i="1" s="1"/>
  <c r="BX14" i="1"/>
  <c r="DA15" i="1"/>
  <c r="AT15" i="1" s="1"/>
  <c r="AH19" i="1"/>
  <c r="EV19" i="1"/>
  <c r="EU19" i="1"/>
  <c r="ET19" i="1"/>
  <c r="ER19" i="1"/>
  <c r="EQ19" i="1"/>
  <c r="EP19" i="1"/>
  <c r="AC20" i="1"/>
  <c r="AL23" i="1"/>
  <c r="GD23" i="1"/>
  <c r="FF23" i="1"/>
  <c r="BZ23" i="1" s="1"/>
  <c r="V30" i="1"/>
  <c r="X30" i="1" s="1"/>
  <c r="AI30" i="1"/>
  <c r="AX33" i="1"/>
  <c r="GD40" i="1"/>
  <c r="FT40" i="1"/>
  <c r="BW40" i="1" s="1"/>
  <c r="AL40" i="1"/>
  <c r="AH5" i="1"/>
  <c r="CF53" i="1"/>
  <c r="EN53" i="1"/>
  <c r="EQ53" i="1" s="1"/>
  <c r="FE53" i="1"/>
  <c r="ER6" i="1"/>
  <c r="EV7" i="1"/>
  <c r="ES9" i="1"/>
  <c r="AB13" i="1"/>
  <c r="BX13" i="1"/>
  <c r="BY14" i="1"/>
  <c r="AC15" i="1"/>
  <c r="R17" i="1"/>
  <c r="BX17" i="1"/>
  <c r="CR17" i="1"/>
  <c r="AR17" i="1" s="1"/>
  <c r="BZ20" i="1"/>
  <c r="DA25" i="1"/>
  <c r="AT25" i="1" s="1"/>
  <c r="R28" i="1"/>
  <c r="AH28" i="1"/>
  <c r="BX28" i="1"/>
  <c r="CG53" i="1"/>
  <c r="EP5" i="1"/>
  <c r="FF5" i="1"/>
  <c r="GC53" i="1"/>
  <c r="ES6" i="1"/>
  <c r="ET9" i="1"/>
  <c r="EP12" i="1"/>
  <c r="AC13" i="1"/>
  <c r="BX18" i="1"/>
  <c r="AH18" i="1"/>
  <c r="BZ25" i="1"/>
  <c r="BY25" i="1"/>
  <c r="GB25" i="1"/>
  <c r="CR30" i="1"/>
  <c r="AR30" i="1" s="1"/>
  <c r="FH53" i="1"/>
  <c r="AH8" i="1"/>
  <c r="AH12" i="1"/>
  <c r="AD13" i="1"/>
  <c r="BZ15" i="1"/>
  <c r="BY15" i="1"/>
  <c r="AL17" i="1"/>
  <c r="FT17" i="1"/>
  <c r="BW17" i="1" s="1"/>
  <c r="AJ18" i="1"/>
  <c r="AG18" i="1"/>
  <c r="AF18" i="1"/>
  <c r="AN19" i="1"/>
  <c r="GF19" i="1"/>
  <c r="AJ22" i="1"/>
  <c r="AG22" i="1"/>
  <c r="AF22" i="1"/>
  <c r="P24" i="1"/>
  <c r="AD24" i="1"/>
  <c r="AB24" i="1"/>
  <c r="BX27" i="1"/>
  <c r="AL5" i="1"/>
  <c r="CM53" i="1"/>
  <c r="ER5" i="1"/>
  <c r="FI53" i="1"/>
  <c r="AB6" i="1"/>
  <c r="EU6" i="1"/>
  <c r="ES8" i="1"/>
  <c r="AC9" i="1"/>
  <c r="EV9" i="1"/>
  <c r="EP10" i="1"/>
  <c r="EX10" i="1" s="1"/>
  <c r="EQ11" i="1"/>
  <c r="CJ12" i="1"/>
  <c r="CR12" i="1" s="1"/>
  <c r="AR12" i="1" s="1"/>
  <c r="ER12" i="1"/>
  <c r="EU14" i="1"/>
  <c r="ET14" i="1"/>
  <c r="EQ14" i="1"/>
  <c r="GD15" i="1"/>
  <c r="AM15" i="1" s="1"/>
  <c r="FV16" i="1"/>
  <c r="AC17" i="1"/>
  <c r="AL19" i="1"/>
  <c r="GD19" i="1"/>
  <c r="FF19" i="1"/>
  <c r="BZ19" i="1" s="1"/>
  <c r="R21" i="1"/>
  <c r="AH21" i="1"/>
  <c r="BX21" i="1"/>
  <c r="BX23" i="1"/>
  <c r="R23" i="1"/>
  <c r="CR24" i="1"/>
  <c r="AR24" i="1" s="1"/>
  <c r="FX24" i="1"/>
  <c r="GD24" i="1"/>
  <c r="AH27" i="1"/>
  <c r="R40" i="1"/>
  <c r="BX40" i="1"/>
  <c r="AH40" i="1"/>
  <c r="CR5" i="1"/>
  <c r="ES5" i="1"/>
  <c r="FJ5" i="1"/>
  <c r="GH53" i="1"/>
  <c r="AN53" i="1" s="1"/>
  <c r="GB13" i="1"/>
  <c r="EP14" i="1"/>
  <c r="EX14" i="1" s="1"/>
  <c r="AH15" i="1"/>
  <c r="GF15" i="1"/>
  <c r="AD17" i="1"/>
  <c r="DA17" i="1"/>
  <c r="AT17" i="1" s="1"/>
  <c r="AC19" i="1"/>
  <c r="AB19" i="1"/>
  <c r="EX20" i="1"/>
  <c r="CR26" i="1"/>
  <c r="AR26" i="1" s="1"/>
  <c r="AD31" i="1"/>
  <c r="AC31" i="1"/>
  <c r="AB31" i="1"/>
  <c r="P31" i="1"/>
  <c r="AX27" i="1"/>
  <c r="GD27" i="1"/>
  <c r="ET33" i="1"/>
  <c r="DM35" i="1"/>
  <c r="DL35" i="1"/>
  <c r="CA35" i="1"/>
  <c r="CB35" i="1" s="1"/>
  <c r="CR37" i="1"/>
  <c r="AR37" i="1" s="1"/>
  <c r="FP16" i="1"/>
  <c r="FJ20" i="1"/>
  <c r="CA20" i="1" s="1"/>
  <c r="CB20" i="1" s="1"/>
  <c r="FJ24" i="1"/>
  <c r="CA24" i="1" s="1"/>
  <c r="CB24" i="1" s="1"/>
  <c r="FJ27" i="1"/>
  <c r="CA27" i="1" s="1"/>
  <c r="CB27" i="1" s="1"/>
  <c r="AN29" i="1"/>
  <c r="BZ31" i="1"/>
  <c r="BY31" i="1"/>
  <c r="DM32" i="1"/>
  <c r="DL32" i="1"/>
  <c r="EV33" i="1"/>
  <c r="FT33" i="1"/>
  <c r="BW33" i="1" s="1"/>
  <c r="AC34" i="1"/>
  <c r="AB34" i="1"/>
  <c r="EV35" i="1"/>
  <c r="ET35" i="1"/>
  <c r="EQ35" i="1"/>
  <c r="P36" i="1"/>
  <c r="AD36" i="1"/>
  <c r="FT21" i="1"/>
  <c r="BW21" i="1" s="1"/>
  <c r="FT25" i="1"/>
  <c r="BW25" i="1" s="1"/>
  <c r="BY28" i="1"/>
  <c r="FT28" i="1"/>
  <c r="BW28" i="1" s="1"/>
  <c r="FP29" i="1"/>
  <c r="GD31" i="1"/>
  <c r="BX32" i="1"/>
  <c r="P34" i="1"/>
  <c r="BX35" i="1"/>
  <c r="EP35" i="1"/>
  <c r="EW36" i="1"/>
  <c r="EU36" i="1"/>
  <c r="ER36" i="1"/>
  <c r="BZ37" i="1"/>
  <c r="AD51" i="1"/>
  <c r="AC51" i="1"/>
  <c r="AB51" i="1"/>
  <c r="P51" i="1"/>
  <c r="AH22" i="1"/>
  <c r="AH26" i="1"/>
  <c r="AH30" i="1"/>
  <c r="CA32" i="1"/>
  <c r="CB32" i="1" s="1"/>
  <c r="ER35" i="1"/>
  <c r="EP36" i="1"/>
  <c r="FJ36" i="1"/>
  <c r="CA36" i="1" s="1"/>
  <c r="CB36" i="1" s="1"/>
  <c r="BY38" i="1"/>
  <c r="BZ38" i="1"/>
  <c r="FT39" i="1"/>
  <c r="BW39" i="1" s="1"/>
  <c r="GD39" i="1"/>
  <c r="AM39" i="1" s="1"/>
  <c r="DA40" i="1"/>
  <c r="AT40" i="1" s="1"/>
  <c r="BX30" i="1"/>
  <c r="BZ35" i="1"/>
  <c r="EQ18" i="1"/>
  <c r="EQ22" i="1"/>
  <c r="EQ26" i="1"/>
  <c r="BZ29" i="1"/>
  <c r="DL29" i="1"/>
  <c r="BY30" i="1"/>
  <c r="EQ32" i="1"/>
  <c r="FJ32" i="1"/>
  <c r="AL33" i="1"/>
  <c r="DL33" i="1"/>
  <c r="EU35" i="1"/>
  <c r="CJ36" i="1"/>
  <c r="CR36" i="1" s="1"/>
  <c r="AR36" i="1" s="1"/>
  <c r="ES36" i="1"/>
  <c r="ER18" i="1"/>
  <c r="FP19" i="1"/>
  <c r="DL20" i="1"/>
  <c r="ER22" i="1"/>
  <c r="AB23" i="1"/>
  <c r="FP23" i="1"/>
  <c r="DL24" i="1"/>
  <c r="ER26" i="1"/>
  <c r="AB27" i="1"/>
  <c r="DL27" i="1"/>
  <c r="DL30" i="1"/>
  <c r="EW31" i="1"/>
  <c r="ES31" i="1"/>
  <c r="ER32" i="1"/>
  <c r="P33" i="1"/>
  <c r="AD33" i="1"/>
  <c r="BY33" i="1"/>
  <c r="EV34" i="1"/>
  <c r="EU34" i="1"/>
  <c r="EQ34" i="1"/>
  <c r="FV35" i="1"/>
  <c r="CJ35" i="1"/>
  <c r="CR35" i="1" s="1"/>
  <c r="AR35" i="1" s="1"/>
  <c r="EW35" i="1"/>
  <c r="AB36" i="1"/>
  <c r="ET36" i="1"/>
  <c r="CR39" i="1"/>
  <c r="AR39" i="1" s="1"/>
  <c r="FV51" i="1"/>
  <c r="CJ51" i="1"/>
  <c r="ES18" i="1"/>
  <c r="ES22" i="1"/>
  <c r="ES26" i="1"/>
  <c r="AN30" i="1"/>
  <c r="ES32" i="1"/>
  <c r="AD34" i="1"/>
  <c r="AC36" i="1"/>
  <c r="EV36" i="1"/>
  <c r="AD42" i="1"/>
  <c r="AC42" i="1"/>
  <c r="AB42" i="1"/>
  <c r="P42" i="1"/>
  <c r="DL45" i="1"/>
  <c r="DM45" i="1"/>
  <c r="R47" i="1"/>
  <c r="AH47" i="1"/>
  <c r="BX47" i="1"/>
  <c r="GB29" i="1"/>
  <c r="AX32" i="1"/>
  <c r="ES33" i="1"/>
  <c r="ER33" i="1"/>
  <c r="EQ16" i="1"/>
  <c r="ER17" i="1"/>
  <c r="EX17" i="1" s="1"/>
  <c r="AB18" i="1"/>
  <c r="EU18" i="1"/>
  <c r="ER21" i="1"/>
  <c r="EX21" i="1" s="1"/>
  <c r="AB22" i="1"/>
  <c r="EU22" i="1"/>
  <c r="ER25" i="1"/>
  <c r="EX25" i="1" s="1"/>
  <c r="AB26" i="1"/>
  <c r="EU26" i="1"/>
  <c r="ER28" i="1"/>
  <c r="EX28" i="1" s="1"/>
  <c r="AH29" i="1"/>
  <c r="AB30" i="1"/>
  <c r="EU30" i="1"/>
  <c r="ET30" i="1"/>
  <c r="EP30" i="1"/>
  <c r="ER31" i="1"/>
  <c r="R32" i="1"/>
  <c r="AL32" i="1"/>
  <c r="EV32" i="1"/>
  <c r="CR33" i="1"/>
  <c r="AR33" i="1" s="1"/>
  <c r="EP33" i="1"/>
  <c r="ES34" i="1"/>
  <c r="R29" i="1"/>
  <c r="EQ30" i="1"/>
  <c r="CJ31" i="1"/>
  <c r="CR31" i="1" s="1"/>
  <c r="AR31" i="1" s="1"/>
  <c r="ET31" i="1"/>
  <c r="EW32" i="1"/>
  <c r="EQ33" i="1"/>
  <c r="ET34" i="1"/>
  <c r="BZ40" i="1"/>
  <c r="AX40" i="1"/>
  <c r="FP40" i="1"/>
  <c r="GF42" i="1"/>
  <c r="AN42" i="1"/>
  <c r="GB42" i="1"/>
  <c r="AM42" i="1"/>
  <c r="AD49" i="1"/>
  <c r="AC49" i="1"/>
  <c r="AB49" i="1"/>
  <c r="P49" i="1"/>
  <c r="AN49" i="1"/>
  <c r="GF49" i="1"/>
  <c r="CR51" i="1"/>
  <c r="AR51" i="1" s="1"/>
  <c r="EQ39" i="1"/>
  <c r="FJ46" i="1"/>
  <c r="CA46" i="1" s="1"/>
  <c r="CB46" i="1" s="1"/>
  <c r="CA49" i="1"/>
  <c r="CB49" i="1" s="1"/>
  <c r="R52" i="1"/>
  <c r="AH52" i="1"/>
  <c r="BX52" i="1"/>
  <c r="DL37" i="1"/>
  <c r="FV37" i="1"/>
  <c r="P38" i="1"/>
  <c r="ER39" i="1"/>
  <c r="DA42" i="1"/>
  <c r="AT42" i="1" s="1"/>
  <c r="AL44" i="1"/>
  <c r="GD44" i="1"/>
  <c r="DM48" i="1"/>
  <c r="DM52" i="1"/>
  <c r="ES39" i="1"/>
  <c r="P41" i="1"/>
  <c r="AD41" i="1"/>
  <c r="AB41" i="1"/>
  <c r="V44" i="1"/>
  <c r="X44" i="1" s="1"/>
  <c r="AI44" i="1"/>
  <c r="EU45" i="1"/>
  <c r="ET45" i="1"/>
  <c r="ES45" i="1"/>
  <c r="ER45" i="1"/>
  <c r="EQ45" i="1"/>
  <c r="EP45" i="1"/>
  <c r="EV45" i="1"/>
  <c r="R50" i="1"/>
  <c r="AH50" i="1"/>
  <c r="BX50" i="1"/>
  <c r="GD41" i="1"/>
  <c r="AM41" i="1" s="1"/>
  <c r="FT41" i="1"/>
  <c r="BW41" i="1" s="1"/>
  <c r="R43" i="1"/>
  <c r="AH43" i="1"/>
  <c r="EU48" i="1"/>
  <c r="ET48" i="1"/>
  <c r="ES48" i="1"/>
  <c r="ER48" i="1"/>
  <c r="EQ48" i="1"/>
  <c r="EP48" i="1"/>
  <c r="EV48" i="1"/>
  <c r="AL38" i="1"/>
  <c r="ER38" i="1"/>
  <c r="GF38" i="1"/>
  <c r="EU39" i="1"/>
  <c r="FP39" i="1"/>
  <c r="AX41" i="1"/>
  <c r="FJ42" i="1"/>
  <c r="CA42" i="1" s="1"/>
  <c r="CB42" i="1" s="1"/>
  <c r="BZ43" i="1"/>
  <c r="AX43" i="1"/>
  <c r="R45" i="1"/>
  <c r="BZ45" i="1"/>
  <c r="EW48" i="1"/>
  <c r="EV39" i="1"/>
  <c r="AB48" i="1"/>
  <c r="AC48" i="1"/>
  <c r="BZ48" i="1"/>
  <c r="BZ49" i="1"/>
  <c r="BY50" i="1"/>
  <c r="EU50" i="1"/>
  <c r="ET50" i="1"/>
  <c r="ES50" i="1"/>
  <c r="ER50" i="1"/>
  <c r="EQ50" i="1"/>
  <c r="EP50" i="1"/>
  <c r="EV50" i="1"/>
  <c r="FJ51" i="1"/>
  <c r="CA51" i="1" s="1"/>
  <c r="CB51" i="1" s="1"/>
  <c r="ET38" i="1"/>
  <c r="AC41" i="1"/>
  <c r="GD45" i="1"/>
  <c r="AL45" i="1"/>
  <c r="AL46" i="1"/>
  <c r="GD46" i="1"/>
  <c r="P48" i="1"/>
  <c r="FF48" i="1"/>
  <c r="EW50" i="1"/>
  <c r="AN46" i="1"/>
  <c r="GF46" i="1"/>
  <c r="AX47" i="1"/>
  <c r="FP47" i="1"/>
  <c r="AL48" i="1"/>
  <c r="GD48" i="1"/>
  <c r="AL52" i="1"/>
  <c r="GD52" i="1"/>
  <c r="AD53" i="1"/>
  <c r="AC53" i="1"/>
  <c r="P53" i="1"/>
  <c r="AB53" i="1"/>
  <c r="ES37" i="1"/>
  <c r="AC38" i="1"/>
  <c r="EV38" i="1"/>
  <c r="DL44" i="1"/>
  <c r="AD46" i="1"/>
  <c r="AC46" i="1"/>
  <c r="AB46" i="1"/>
  <c r="P46" i="1"/>
  <c r="AL49" i="1"/>
  <c r="DA46" i="1"/>
  <c r="AT46" i="1" s="1"/>
  <c r="AL47" i="1"/>
  <c r="GD47" i="1"/>
  <c r="AM47" i="1" s="1"/>
  <c r="AD48" i="1"/>
  <c r="GD49" i="1"/>
  <c r="AL50" i="1"/>
  <c r="GD50" i="1"/>
  <c r="EU41" i="1"/>
  <c r="EP42" i="1"/>
  <c r="GD43" i="1"/>
  <c r="AM43" i="1" s="1"/>
  <c r="AN44" i="1"/>
  <c r="ET44" i="1"/>
  <c r="EP46" i="1"/>
  <c r="EP49" i="1"/>
  <c r="EV52" i="1"/>
  <c r="EW41" i="1"/>
  <c r="ER42" i="1"/>
  <c r="AB43" i="1"/>
  <c r="BX44" i="1"/>
  <c r="EV44" i="1"/>
  <c r="ER46" i="1"/>
  <c r="AB47" i="1"/>
  <c r="ER49" i="1"/>
  <c r="AB50" i="1"/>
  <c r="AB52" i="1"/>
  <c r="ES51" i="1"/>
  <c r="EP52" i="1"/>
  <c r="Z53" i="1"/>
  <c r="AH44" i="1"/>
  <c r="EQ52" i="1"/>
  <c r="EQ41" i="1"/>
  <c r="DL42" i="1"/>
  <c r="EP44" i="1"/>
  <c r="DL46" i="1"/>
  <c r="DL49" i="1"/>
  <c r="EU51" i="1"/>
  <c r="ER52" i="1"/>
  <c r="ER41" i="1"/>
  <c r="EQ44" i="1"/>
  <c r="AB45" i="1"/>
  <c r="EP47" i="1"/>
  <c r="EX47" i="1" s="1"/>
  <c r="EV51" i="1"/>
  <c r="ES52" i="1"/>
  <c r="ER44" i="1"/>
  <c r="ET52" i="1"/>
  <c r="EX41" i="1" l="1"/>
  <c r="FV53" i="1"/>
  <c r="AL53" i="1" s="1"/>
  <c r="EX38" i="1"/>
  <c r="EX39" i="1"/>
  <c r="AL27" i="1"/>
  <c r="FT27" i="1"/>
  <c r="BW27" i="1" s="1"/>
  <c r="AH16" i="1"/>
  <c r="BX16" i="1"/>
  <c r="R16" i="1"/>
  <c r="EX31" i="1"/>
  <c r="AL30" i="1"/>
  <c r="FT30" i="1"/>
  <c r="BW30" i="1" s="1"/>
  <c r="EX37" i="1"/>
  <c r="EX32" i="1"/>
  <c r="GF53" i="1"/>
  <c r="GD10" i="1"/>
  <c r="FT10" i="1"/>
  <c r="BW10" i="1" s="1"/>
  <c r="AL10" i="1"/>
  <c r="FT20" i="1"/>
  <c r="BW20" i="1" s="1"/>
  <c r="AL20" i="1"/>
  <c r="EX16" i="1"/>
  <c r="EX51" i="1"/>
  <c r="GB38" i="1"/>
  <c r="AM5" i="1"/>
  <c r="EX11" i="1"/>
  <c r="FT26" i="1"/>
  <c r="BW26" i="1" s="1"/>
  <c r="FX53" i="1"/>
  <c r="AH9" i="1"/>
  <c r="EX46" i="1"/>
  <c r="GD26" i="1"/>
  <c r="EX7" i="1"/>
  <c r="GB28" i="1"/>
  <c r="GB21" i="1"/>
  <c r="EX22" i="1"/>
  <c r="BX39" i="1"/>
  <c r="R39" i="1"/>
  <c r="GD30" i="1"/>
  <c r="EX8" i="1"/>
  <c r="EX6" i="1"/>
  <c r="BX26" i="1"/>
  <c r="R26" i="1"/>
  <c r="GB46" i="1"/>
  <c r="AM46" i="1"/>
  <c r="V45" i="1"/>
  <c r="X45" i="1" s="1"/>
  <c r="AI45" i="1"/>
  <c r="BX38" i="1"/>
  <c r="R38" i="1"/>
  <c r="AH38" i="1"/>
  <c r="AM23" i="1"/>
  <c r="GB23" i="1"/>
  <c r="BY53" i="1"/>
  <c r="EX23" i="1"/>
  <c r="V15" i="1"/>
  <c r="X15" i="1" s="1"/>
  <c r="AI15" i="1"/>
  <c r="V11" i="1"/>
  <c r="X11" i="1" s="1"/>
  <c r="AI11" i="1"/>
  <c r="V40" i="1"/>
  <c r="X40" i="1" s="1"/>
  <c r="AI40" i="1"/>
  <c r="ES53" i="1"/>
  <c r="EW53" i="1"/>
  <c r="EV53" i="1"/>
  <c r="EU53" i="1"/>
  <c r="EX52" i="1"/>
  <c r="EX42" i="1"/>
  <c r="BX46" i="1"/>
  <c r="AH46" i="1"/>
  <c r="R46" i="1"/>
  <c r="AH41" i="1"/>
  <c r="R41" i="1"/>
  <c r="BX41" i="1"/>
  <c r="BX6" i="1"/>
  <c r="R6" i="1"/>
  <c r="AH6" i="1"/>
  <c r="V13" i="1"/>
  <c r="X13" i="1" s="1"/>
  <c r="AI13" i="1"/>
  <c r="DA53" i="1"/>
  <c r="AT53" i="1" s="1"/>
  <c r="AT5" i="1"/>
  <c r="V19" i="1"/>
  <c r="X19" i="1" s="1"/>
  <c r="AI19" i="1"/>
  <c r="R20" i="1"/>
  <c r="AH20" i="1"/>
  <c r="BX20" i="1"/>
  <c r="V17" i="1"/>
  <c r="X17" i="1" s="1"/>
  <c r="AI17" i="1"/>
  <c r="GB43" i="1"/>
  <c r="AM45" i="1"/>
  <c r="GB45" i="1"/>
  <c r="EP53" i="1"/>
  <c r="GB39" i="1"/>
  <c r="EX35" i="1"/>
  <c r="GB24" i="1"/>
  <c r="AM24" i="1"/>
  <c r="CJ53" i="1"/>
  <c r="EX19" i="1"/>
  <c r="GB36" i="1"/>
  <c r="AM36" i="1"/>
  <c r="AI25" i="1"/>
  <c r="V25" i="1"/>
  <c r="X25" i="1" s="1"/>
  <c r="GB7" i="1"/>
  <c r="GD37" i="1"/>
  <c r="FT37" i="1"/>
  <c r="BW37" i="1" s="1"/>
  <c r="AL37" i="1"/>
  <c r="R53" i="1"/>
  <c r="BX53" i="1"/>
  <c r="AH53" i="1"/>
  <c r="EX48" i="1"/>
  <c r="EX33" i="1"/>
  <c r="V47" i="1"/>
  <c r="X47" i="1" s="1"/>
  <c r="AI47" i="1"/>
  <c r="R33" i="1"/>
  <c r="AH33" i="1"/>
  <c r="BX33" i="1"/>
  <c r="EX18" i="1"/>
  <c r="BX51" i="1"/>
  <c r="AH51" i="1"/>
  <c r="R51" i="1"/>
  <c r="AL16" i="1"/>
  <c r="GD16" i="1"/>
  <c r="FT16" i="1"/>
  <c r="BW16" i="1" s="1"/>
  <c r="EX12" i="1"/>
  <c r="ET53" i="1"/>
  <c r="AJ44" i="1"/>
  <c r="AG44" i="1"/>
  <c r="AF44" i="1"/>
  <c r="BX34" i="1"/>
  <c r="R34" i="1"/>
  <c r="AH34" i="1"/>
  <c r="AF27" i="1"/>
  <c r="AJ27" i="1"/>
  <c r="AG27" i="1"/>
  <c r="AJ14" i="1"/>
  <c r="AG14" i="1"/>
  <c r="AF14" i="1"/>
  <c r="EX50" i="1"/>
  <c r="V23" i="1"/>
  <c r="X23" i="1" s="1"/>
  <c r="AI23" i="1"/>
  <c r="GB40" i="1"/>
  <c r="AM40" i="1"/>
  <c r="AF35" i="1"/>
  <c r="AJ35" i="1"/>
  <c r="AG35" i="1"/>
  <c r="AL22" i="1"/>
  <c r="GD22" i="1"/>
  <c r="FT22" i="1"/>
  <c r="BW22" i="1" s="1"/>
  <c r="EX44" i="1"/>
  <c r="AM50" i="1"/>
  <c r="GB50" i="1"/>
  <c r="GB52" i="1"/>
  <c r="AM52" i="1"/>
  <c r="AM44" i="1"/>
  <c r="GB44" i="1"/>
  <c r="BX42" i="1"/>
  <c r="AH42" i="1"/>
  <c r="R42" i="1"/>
  <c r="AM31" i="1"/>
  <c r="GB31" i="1"/>
  <c r="FJ53" i="1"/>
  <c r="FL53" i="1" s="1"/>
  <c r="CA5" i="1"/>
  <c r="CB5" i="1" s="1"/>
  <c r="R24" i="1"/>
  <c r="AH24" i="1"/>
  <c r="BX24" i="1"/>
  <c r="GB15" i="1"/>
  <c r="GB34" i="1"/>
  <c r="V28" i="1"/>
  <c r="X28" i="1" s="1"/>
  <c r="AI28" i="1"/>
  <c r="GB20" i="1"/>
  <c r="AM20" i="1"/>
  <c r="DM53" i="1"/>
  <c r="DL53" i="1"/>
  <c r="AJ12" i="1"/>
  <c r="AG12" i="1"/>
  <c r="AF12" i="1"/>
  <c r="GB6" i="1"/>
  <c r="BX31" i="1"/>
  <c r="R31" i="1"/>
  <c r="AH31" i="1"/>
  <c r="EX49" i="1"/>
  <c r="GB41" i="1"/>
  <c r="ER53" i="1"/>
  <c r="V50" i="1"/>
  <c r="X50" i="1" s="1"/>
  <c r="AI50" i="1"/>
  <c r="V32" i="1"/>
  <c r="X32" i="1" s="1"/>
  <c r="AI32" i="1"/>
  <c r="GB47" i="1"/>
  <c r="R36" i="1"/>
  <c r="AH36" i="1"/>
  <c r="BX36" i="1"/>
  <c r="EX9" i="1"/>
  <c r="AG10" i="1"/>
  <c r="AF10" i="1"/>
  <c r="AJ10" i="1"/>
  <c r="R37" i="1"/>
  <c r="AH37" i="1"/>
  <c r="BX37" i="1"/>
  <c r="AJ5" i="1"/>
  <c r="AG5" i="1"/>
  <c r="AF5" i="1"/>
  <c r="GB49" i="1"/>
  <c r="AM49" i="1"/>
  <c r="AM48" i="1"/>
  <c r="GB48" i="1"/>
  <c r="AM30" i="1"/>
  <c r="GB30" i="1"/>
  <c r="CR53" i="1"/>
  <c r="AR53" i="1" s="1"/>
  <c r="AR5" i="1"/>
  <c r="FM53" i="1"/>
  <c r="AJ30" i="1"/>
  <c r="AG30" i="1"/>
  <c r="AF30" i="1"/>
  <c r="GD11" i="1"/>
  <c r="AL11" i="1"/>
  <c r="FT11" i="1"/>
  <c r="BW11" i="1" s="1"/>
  <c r="V9" i="1"/>
  <c r="X9" i="1" s="1"/>
  <c r="AI9" i="1"/>
  <c r="EX45" i="1"/>
  <c r="BX49" i="1"/>
  <c r="AH49" i="1"/>
  <c r="R49" i="1"/>
  <c r="EX30" i="1"/>
  <c r="GD35" i="1"/>
  <c r="FT35" i="1"/>
  <c r="BW35" i="1" s="1"/>
  <c r="AL35" i="1"/>
  <c r="EX36" i="1"/>
  <c r="GB27" i="1"/>
  <c r="AM27" i="1"/>
  <c r="AI21" i="1"/>
  <c r="V21" i="1"/>
  <c r="X21" i="1" s="1"/>
  <c r="FF53" i="1"/>
  <c r="BZ53" i="1" s="1"/>
  <c r="GB18" i="1"/>
  <c r="GB19" i="1"/>
  <c r="AM19" i="1"/>
  <c r="V52" i="1"/>
  <c r="X52" i="1" s="1"/>
  <c r="AI52" i="1"/>
  <c r="R48" i="1"/>
  <c r="BX48" i="1"/>
  <c r="AH48" i="1"/>
  <c r="V43" i="1"/>
  <c r="X43" i="1" s="1"/>
  <c r="AI43" i="1"/>
  <c r="AI29" i="1"/>
  <c r="V29" i="1"/>
  <c r="X29" i="1" s="1"/>
  <c r="FT51" i="1"/>
  <c r="BW51" i="1" s="1"/>
  <c r="AL51" i="1"/>
  <c r="GD51" i="1"/>
  <c r="EX34" i="1"/>
  <c r="EX5" i="1"/>
  <c r="AL14" i="1"/>
  <c r="GD14" i="1"/>
  <c r="FT14" i="1"/>
  <c r="BW14" i="1" s="1"/>
  <c r="BZ5" i="1"/>
  <c r="AJ8" i="1"/>
  <c r="AG8" i="1"/>
  <c r="AF8" i="1"/>
  <c r="V16" i="1" l="1"/>
  <c r="X16" i="1" s="1"/>
  <c r="AI16" i="1"/>
  <c r="AM26" i="1"/>
  <c r="GB26" i="1"/>
  <c r="V26" i="1"/>
  <c r="X26" i="1" s="1"/>
  <c r="AI26" i="1"/>
  <c r="GB10" i="1"/>
  <c r="AM10" i="1"/>
  <c r="CA53" i="1"/>
  <c r="CB53" i="1" s="1"/>
  <c r="V39" i="1"/>
  <c r="X39" i="1" s="1"/>
  <c r="AI39" i="1"/>
  <c r="AI49" i="1"/>
  <c r="V49" i="1"/>
  <c r="X49" i="1" s="1"/>
  <c r="AJ11" i="1"/>
  <c r="AG11" i="1"/>
  <c r="AF11" i="1"/>
  <c r="AI42" i="1"/>
  <c r="V42" i="1"/>
  <c r="X42" i="1" s="1"/>
  <c r="AI51" i="1"/>
  <c r="V51" i="1"/>
  <c r="X51" i="1" s="1"/>
  <c r="AJ29" i="1"/>
  <c r="AG29" i="1"/>
  <c r="AF29" i="1"/>
  <c r="AG25" i="1"/>
  <c r="AJ25" i="1"/>
  <c r="AF25" i="1"/>
  <c r="AF13" i="1"/>
  <c r="AJ13" i="1"/>
  <c r="AG13" i="1"/>
  <c r="AG21" i="1"/>
  <c r="AJ21" i="1"/>
  <c r="AF21" i="1"/>
  <c r="V31" i="1"/>
  <c r="X31" i="1" s="1"/>
  <c r="AI31" i="1"/>
  <c r="AM22" i="1"/>
  <c r="GB22" i="1"/>
  <c r="AF23" i="1"/>
  <c r="AJ23" i="1"/>
  <c r="AG23" i="1"/>
  <c r="V34" i="1"/>
  <c r="X34" i="1" s="1"/>
  <c r="AI34" i="1"/>
  <c r="AI53" i="1"/>
  <c r="V53" i="1"/>
  <c r="X53" i="1" s="1"/>
  <c r="V6" i="1"/>
  <c r="X6" i="1" s="1"/>
  <c r="AI6" i="1"/>
  <c r="AI38" i="1"/>
  <c r="V38" i="1"/>
  <c r="X38" i="1" s="1"/>
  <c r="AI46" i="1"/>
  <c r="V46" i="1"/>
  <c r="X46" i="1" s="1"/>
  <c r="AJ43" i="1"/>
  <c r="AG43" i="1"/>
  <c r="AF43" i="1"/>
  <c r="AI36" i="1"/>
  <c r="V36" i="1"/>
  <c r="X36" i="1" s="1"/>
  <c r="AJ28" i="1"/>
  <c r="AG28" i="1"/>
  <c r="AF28" i="1"/>
  <c r="AJ17" i="1"/>
  <c r="AF17" i="1"/>
  <c r="AG17" i="1"/>
  <c r="FT53" i="1"/>
  <c r="BW53" i="1" s="1"/>
  <c r="AG15" i="1"/>
  <c r="AF15" i="1"/>
  <c r="AJ15" i="1"/>
  <c r="AM14" i="1"/>
  <c r="GB14" i="1"/>
  <c r="FN53" i="1"/>
  <c r="AJ9" i="1"/>
  <c r="AG9" i="1"/>
  <c r="AF9" i="1"/>
  <c r="V37" i="1"/>
  <c r="X37" i="1" s="1"/>
  <c r="AI37" i="1"/>
  <c r="AG32" i="1"/>
  <c r="AJ32" i="1"/>
  <c r="AF32" i="1"/>
  <c r="AI20" i="1"/>
  <c r="V20" i="1"/>
  <c r="X20" i="1" s="1"/>
  <c r="V48" i="1"/>
  <c r="X48" i="1" s="1"/>
  <c r="AI48" i="1"/>
  <c r="AI33" i="1"/>
  <c r="V33" i="1"/>
  <c r="X33" i="1" s="1"/>
  <c r="AI24" i="1"/>
  <c r="V24" i="1"/>
  <c r="X24" i="1" s="1"/>
  <c r="AG45" i="1"/>
  <c r="AJ45" i="1"/>
  <c r="AF45" i="1"/>
  <c r="AF19" i="1"/>
  <c r="AJ19" i="1"/>
  <c r="AG19" i="1"/>
  <c r="AM51" i="1"/>
  <c r="GB51" i="1"/>
  <c r="AJ52" i="1"/>
  <c r="AG52" i="1"/>
  <c r="AF52" i="1"/>
  <c r="AM35" i="1"/>
  <c r="GB35" i="1"/>
  <c r="AM11" i="1"/>
  <c r="GB11" i="1"/>
  <c r="GD53" i="1"/>
  <c r="AM53" i="1" s="1"/>
  <c r="AJ50" i="1"/>
  <c r="AG50" i="1"/>
  <c r="AF50" i="1"/>
  <c r="AJ47" i="1"/>
  <c r="AG47" i="1"/>
  <c r="AF47" i="1"/>
  <c r="AM16" i="1"/>
  <c r="GB16" i="1"/>
  <c r="AM37" i="1"/>
  <c r="GB37" i="1"/>
  <c r="EX53" i="1"/>
  <c r="V41" i="1"/>
  <c r="X41" i="1" s="1"/>
  <c r="AI41" i="1"/>
  <c r="AJ40" i="1"/>
  <c r="AG40" i="1"/>
  <c r="AF40" i="1"/>
  <c r="AG39" i="1" l="1"/>
  <c r="AF39" i="1"/>
  <c r="AJ39" i="1"/>
  <c r="GB53" i="1"/>
  <c r="AF26" i="1"/>
  <c r="AG26" i="1"/>
  <c r="AJ26" i="1"/>
  <c r="AF16" i="1"/>
  <c r="AG16" i="1"/>
  <c r="AJ16" i="1"/>
  <c r="AJ6" i="1"/>
  <c r="AG6" i="1"/>
  <c r="AF6" i="1"/>
  <c r="AF53" i="1"/>
  <c r="AJ53" i="1"/>
  <c r="AG53" i="1"/>
  <c r="AJ37" i="1"/>
  <c r="AF37" i="1"/>
  <c r="AG37" i="1"/>
  <c r="AF51" i="1"/>
  <c r="AJ51" i="1"/>
  <c r="AG51" i="1"/>
  <c r="AJ48" i="1"/>
  <c r="AG48" i="1"/>
  <c r="AF48" i="1"/>
  <c r="AF46" i="1"/>
  <c r="AJ46" i="1"/>
  <c r="AG46" i="1"/>
  <c r="AJ34" i="1"/>
  <c r="AG34" i="1"/>
  <c r="AF34" i="1"/>
  <c r="AF42" i="1"/>
  <c r="AJ42" i="1"/>
  <c r="AG42" i="1"/>
  <c r="AF24" i="1"/>
  <c r="AJ24" i="1"/>
  <c r="AG24" i="1"/>
  <c r="AG38" i="1"/>
  <c r="AJ38" i="1"/>
  <c r="AF38" i="1"/>
  <c r="AF20" i="1"/>
  <c r="AJ20" i="1"/>
  <c r="AG20" i="1"/>
  <c r="AJ41" i="1"/>
  <c r="AG41" i="1"/>
  <c r="AF41" i="1"/>
  <c r="AF49" i="1"/>
  <c r="AJ49" i="1"/>
  <c r="AG49" i="1"/>
  <c r="AJ33" i="1"/>
  <c r="AG33" i="1"/>
  <c r="AF33" i="1"/>
  <c r="AF36" i="1"/>
  <c r="AJ36" i="1"/>
  <c r="AG36" i="1"/>
  <c r="AF31" i="1"/>
  <c r="AJ31" i="1"/>
  <c r="AG31" i="1"/>
</calcChain>
</file>

<file path=xl/sharedStrings.xml><?xml version="1.0" encoding="utf-8"?>
<sst xmlns="http://schemas.openxmlformats.org/spreadsheetml/2006/main" count="419" uniqueCount="227">
  <si>
    <t>EBK-banks (Eika and LBA-banks) 2Q23 figures</t>
  </si>
  <si>
    <t>Key balance sheet figures</t>
  </si>
  <si>
    <t>P&amp;L</t>
  </si>
  <si>
    <t>P&amp;L key figures</t>
  </si>
  <si>
    <t>Growth 2Q23 - 2Q22 (YoY)</t>
  </si>
  <si>
    <t>Liquidity</t>
  </si>
  <si>
    <t>Capital ratios</t>
  </si>
  <si>
    <t>Consolidated capital ratios*</t>
  </si>
  <si>
    <t>Pilar 2</t>
  </si>
  <si>
    <t>CET1 - margin to requirements</t>
  </si>
  <si>
    <t>core capital - margin to req.</t>
  </si>
  <si>
    <t>Capital - margin to req.</t>
  </si>
  <si>
    <t>Credit quality</t>
  </si>
  <si>
    <t>Balance sheet 2Q23</t>
  </si>
  <si>
    <t>External funding (30.06.2023) - maturity within</t>
  </si>
  <si>
    <t>Additional information</t>
  </si>
  <si>
    <t>Sector breakdown loan book - 2022 numbers</t>
  </si>
  <si>
    <t>Bank</t>
  </si>
  <si>
    <t>Total assets</t>
  </si>
  <si>
    <t>Average assets</t>
  </si>
  <si>
    <t>Gross loans</t>
  </si>
  <si>
    <t>Transfer to CB</t>
  </si>
  <si>
    <t>Deposits</t>
  </si>
  <si>
    <t>Total assets incl. CB</t>
  </si>
  <si>
    <t>Total loans incl. CB</t>
  </si>
  <si>
    <t>NII</t>
  </si>
  <si>
    <t>NCI</t>
  </si>
  <si>
    <t>Other income</t>
  </si>
  <si>
    <t>Core income</t>
  </si>
  <si>
    <t>Total operating expenses</t>
  </si>
  <si>
    <t>Core earnings before impairment</t>
  </si>
  <si>
    <t>Impairment of loans</t>
  </si>
  <si>
    <t>Core earnings</t>
  </si>
  <si>
    <t>Dividends &amp; assoc. comp.</t>
  </si>
  <si>
    <t>Net finance</t>
  </si>
  <si>
    <t>One-offs</t>
  </si>
  <si>
    <t>Pre tax profit</t>
  </si>
  <si>
    <t>Taxes</t>
  </si>
  <si>
    <t>Net profit</t>
  </si>
  <si>
    <t>NII in % of average assets</t>
  </si>
  <si>
    <t>NCI in % of average assets</t>
  </si>
  <si>
    <t>C/I</t>
  </si>
  <si>
    <t>C/I adj. net finance</t>
  </si>
  <si>
    <t>C/I adj. net finance and dividends</t>
  </si>
  <si>
    <t>Costs in % of average assets</t>
  </si>
  <si>
    <t>Net profit in % of average assets</t>
  </si>
  <si>
    <t>Net profit in % of ARWA</t>
  </si>
  <si>
    <t>PPI/ARWA</t>
  </si>
  <si>
    <t>Core earnings in % ARVW</t>
  </si>
  <si>
    <t>RoE</t>
  </si>
  <si>
    <t>Growth in loans (own book)</t>
  </si>
  <si>
    <t>Growth in loans incl. CB</t>
  </si>
  <si>
    <t>Growth in deposits</t>
  </si>
  <si>
    <t>Deposit ratio</t>
  </si>
  <si>
    <t>Deposit over total funding</t>
  </si>
  <si>
    <t>(Market fund. - liquid assets)/Total assets</t>
  </si>
  <si>
    <t>Market funds incl. 50% of EBK/total assets</t>
  </si>
  <si>
    <t>Liquid assets/total assets</t>
  </si>
  <si>
    <t>LCR 2022</t>
  </si>
  <si>
    <t>NSFR 2022</t>
  </si>
  <si>
    <t>Equity ratio</t>
  </si>
  <si>
    <t>Leverage ratio</t>
  </si>
  <si>
    <t>CET1 ratio</t>
  </si>
  <si>
    <t>Core capital ratio</t>
  </si>
  <si>
    <t>Capital ratio</t>
  </si>
  <si>
    <t>Consolidated CET1 ratio</t>
  </si>
  <si>
    <t>Cons. core capital ratio</t>
  </si>
  <si>
    <t>Consolidated capital ratio</t>
  </si>
  <si>
    <t>Pilar 2                bank level</t>
  </si>
  <si>
    <t>Pilar 2                consolidated</t>
  </si>
  <si>
    <t>Of which CET1</t>
  </si>
  <si>
    <t>Of which core capital</t>
  </si>
  <si>
    <t>P2G</t>
  </si>
  <si>
    <t>Bank level margin to requirements</t>
  </si>
  <si>
    <t>Cons. level margin to requirements</t>
  </si>
  <si>
    <t>Loan loss provision ratio</t>
  </si>
  <si>
    <t>Loan loss provision/pre loss income</t>
  </si>
  <si>
    <t>Problem loans/gross loans</t>
  </si>
  <si>
    <t>Problem loans/ (Equity + LLR)</t>
  </si>
  <si>
    <t>Share of retail loans (own book)</t>
  </si>
  <si>
    <t>Share of retail loans (incl. EBK))</t>
  </si>
  <si>
    <t>Cash</t>
  </si>
  <si>
    <t>Deposits with CB and credit inst.</t>
  </si>
  <si>
    <t>Deposits with CB and loans to credit inst.</t>
  </si>
  <si>
    <t>Gross loans to customers</t>
  </si>
  <si>
    <t>Stage 3 (Individual impairments)</t>
  </si>
  <si>
    <t>Stage 1 &amp; 2 (Group impairments)</t>
  </si>
  <si>
    <t>Net loans to customers</t>
  </si>
  <si>
    <t>Commercial paper and bonds</t>
  </si>
  <si>
    <t>Share- holdings</t>
  </si>
  <si>
    <t>Total bonds and share- holdings</t>
  </si>
  <si>
    <t>Associated companies</t>
  </si>
  <si>
    <t>Intangible assets</t>
  </si>
  <si>
    <t>Fixed assets</t>
  </si>
  <si>
    <t>Other assets</t>
  </si>
  <si>
    <t>Due to credit institutions</t>
  </si>
  <si>
    <t>Deposits from customers</t>
  </si>
  <si>
    <t>Total deposits</t>
  </si>
  <si>
    <t>Debt securities issued</t>
  </si>
  <si>
    <t>Other debt</t>
  </si>
  <si>
    <t>Total debt</t>
  </si>
  <si>
    <t>Hybrid and subordinated capital</t>
  </si>
  <si>
    <t>Total equity</t>
  </si>
  <si>
    <t>Total debt and equity</t>
  </si>
  <si>
    <t>Liquid assets</t>
  </si>
  <si>
    <t>01.07.2024 - 30.06.2025</t>
  </si>
  <si>
    <t>01.07.2026 - 30.06.2026</t>
  </si>
  <si>
    <t>01.07.2026 - 30.06.2027</t>
  </si>
  <si>
    <t>01.07.2027 - 30.06.2028</t>
  </si>
  <si>
    <t>From 01.07.2029</t>
  </si>
  <si>
    <t>Total</t>
  </si>
  <si>
    <t>External funding in % of total assets</t>
  </si>
  <si>
    <t>Market funding in % of total assets</t>
  </si>
  <si>
    <t>Auditing firm</t>
  </si>
  <si>
    <t>Employees</t>
  </si>
  <si>
    <t>Customers</t>
  </si>
  <si>
    <t>Branches</t>
  </si>
  <si>
    <t>Alliance</t>
  </si>
  <si>
    <t>Listed on OSE with debt inst.</t>
  </si>
  <si>
    <t>EC/stocks bank</t>
  </si>
  <si>
    <t>ECC-ratio</t>
  </si>
  <si>
    <t>CET1 capital</t>
  </si>
  <si>
    <t>Core capital</t>
  </si>
  <si>
    <t>Total capital</t>
  </si>
  <si>
    <t>Average RWA (ARWA)</t>
  </si>
  <si>
    <t>RWA 2Q22</t>
  </si>
  <si>
    <t>RWA 2Q23</t>
  </si>
  <si>
    <t>Agriculture</t>
  </si>
  <si>
    <t>Industry</t>
  </si>
  <si>
    <t>Building and construction</t>
  </si>
  <si>
    <t>Trade and hotels</t>
  </si>
  <si>
    <t>Real estate business</t>
  </si>
  <si>
    <t>Transport</t>
  </si>
  <si>
    <t>Other</t>
  </si>
  <si>
    <t>Retail lending</t>
  </si>
  <si>
    <t>Total lending 2022</t>
  </si>
  <si>
    <t>NPL</t>
  </si>
  <si>
    <t>Doubtfull loans</t>
  </si>
  <si>
    <t>Problem loans</t>
  </si>
  <si>
    <t>Total impairments</t>
  </si>
  <si>
    <t>Retail loans (own book)</t>
  </si>
  <si>
    <t>Corporate loans</t>
  </si>
  <si>
    <t>Gross loans (own book)</t>
  </si>
  <si>
    <t>Average Equity</t>
  </si>
  <si>
    <t>Equity 2Q22</t>
  </si>
  <si>
    <t>Equity 2Q23</t>
  </si>
  <si>
    <t>Average loans</t>
  </si>
  <si>
    <t>Gross loans 2Q22</t>
  </si>
  <si>
    <t>Gross loans 2Q23</t>
  </si>
  <si>
    <t>Transfer - average</t>
  </si>
  <si>
    <t>Transfer to CB 2Q22</t>
  </si>
  <si>
    <t>Transfer to CB 2Q23</t>
  </si>
  <si>
    <t>Average loans transferred</t>
  </si>
  <si>
    <t>Total loans incl. CB 2Q22</t>
  </si>
  <si>
    <t>Total loans incl. CB 2Q23</t>
  </si>
  <si>
    <t>Average deposits</t>
  </si>
  <si>
    <t>Deposits 2Q22</t>
  </si>
  <si>
    <t>Deposits 2Q23</t>
  </si>
  <si>
    <t>Average total assets</t>
  </si>
  <si>
    <t>Total assets 2Q23</t>
  </si>
  <si>
    <t>RWA/total assets 2Q23</t>
  </si>
  <si>
    <t>Agder Sparebank</t>
  </si>
  <si>
    <t>RSM Norge AS</t>
  </si>
  <si>
    <t>Eika</t>
  </si>
  <si>
    <t>yes</t>
  </si>
  <si>
    <t>EC</t>
  </si>
  <si>
    <t>Andebu Sparebank</t>
  </si>
  <si>
    <t xml:space="preserve">Ernst &amp; Young </t>
  </si>
  <si>
    <t>KPMG</t>
  </si>
  <si>
    <t>Aurskog Sparebank</t>
  </si>
  <si>
    <t>EC (listed)</t>
  </si>
  <si>
    <t>Berg Sparebank</t>
  </si>
  <si>
    <t>NM</t>
  </si>
  <si>
    <t>Bien Sparebank</t>
  </si>
  <si>
    <t>Stocks</t>
  </si>
  <si>
    <t>Birkenes Sparebank</t>
  </si>
  <si>
    <t>Bjugn Sparebank</t>
  </si>
  <si>
    <t xml:space="preserve">Revisorkonsult </t>
  </si>
  <si>
    <t>BDO AS</t>
  </si>
  <si>
    <t>Eidsberg Sparebank</t>
  </si>
  <si>
    <t>Etnedal Sparebank</t>
  </si>
  <si>
    <t>Evje og Hornnes Sparebank</t>
  </si>
  <si>
    <t>Gildeskål Sparebank</t>
  </si>
  <si>
    <t>Grong Sparebank</t>
  </si>
  <si>
    <t>Grue Sparebank</t>
  </si>
  <si>
    <t>Haltdalen Sparebank</t>
  </si>
  <si>
    <t>Hegra Sparebank</t>
  </si>
  <si>
    <t xml:space="preserve">Pricewaterhousecoopers </t>
  </si>
  <si>
    <t>Hjartdal og Gransherad Sparebank</t>
  </si>
  <si>
    <t>Hjelmeland Sparebank</t>
  </si>
  <si>
    <t>Høland og Setskog Sparebank</t>
  </si>
  <si>
    <t>Jernbanepersonalets Sparebank</t>
  </si>
  <si>
    <t>Jæren Sparebank</t>
  </si>
  <si>
    <t xml:space="preserve">Deloitte </t>
  </si>
  <si>
    <t>Kvinesdal Sparebank</t>
  </si>
  <si>
    <t>Larvikbanken Brunlanes Sparebank</t>
  </si>
  <si>
    <t>Marker Sparebank</t>
  </si>
  <si>
    <t>Melhus Sparebank</t>
  </si>
  <si>
    <t>Odal Sparebank</t>
  </si>
  <si>
    <t>Oppdalsbanken</t>
  </si>
  <si>
    <t>Orkla Sparebank</t>
  </si>
  <si>
    <t>Oslofjord Sparebank</t>
  </si>
  <si>
    <t>Rindal Sparebank</t>
  </si>
  <si>
    <t>Romerike Sparebank</t>
  </si>
  <si>
    <t>Romsdalsbanken</t>
  </si>
  <si>
    <t>Rørosbanken Røros Sparebank</t>
  </si>
  <si>
    <t>Skagerrak Sparebank</t>
  </si>
  <si>
    <t>Skue Sparebank</t>
  </si>
  <si>
    <t>Sogn Sparebank</t>
  </si>
  <si>
    <t>Soknedal Sparebank</t>
  </si>
  <si>
    <t>Sparebanken Narvik</t>
  </si>
  <si>
    <t>Strømmen Sparebank</t>
  </si>
  <si>
    <t>Sunndal Sparebank</t>
  </si>
  <si>
    <t>Tinn Sparebank</t>
  </si>
  <si>
    <t>Totens Sparebank</t>
  </si>
  <si>
    <t>Trøgstad Sparebank</t>
  </si>
  <si>
    <t>Trøndelag Sparebank</t>
  </si>
  <si>
    <t>Tysnes Sparebank</t>
  </si>
  <si>
    <t>Valdres Sparebank</t>
  </si>
  <si>
    <t>Valle Sparebank</t>
  </si>
  <si>
    <t>Vekselbanken (Voss Veksel og Landmandsbank)</t>
  </si>
  <si>
    <t>RSM</t>
  </si>
  <si>
    <t>Stocks listed</t>
  </si>
  <si>
    <t>Ørskog Sparebank</t>
  </si>
  <si>
    <t>Eika total</t>
  </si>
  <si>
    <t>Consolidated capital ratios* = bank + Eika Boligkreditt + Eika Gruppen</t>
  </si>
  <si>
    <t>1) Deposits in the central bank booked under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</si>
</sst>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\ %"/>
    <numFmt numFmtId="165" formatCode="_ [$€-2]\ * #,##0.00_ ;_ [$€-2]\ * \-#,##0.00_ ;_ [$€-2]\ * &quot;-&quot;??_ ;_ @_ "/>
    <numFmt numFmtId="166" formatCode="d/m/yy;@"/>
    <numFmt numFmtId="167" formatCode="#,##0.0"/>
    <numFmt numFmtId="168" formatCode="0.0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Garamond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0C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2" borderId="0" xfId="0" applyFill="1"/>
    <xf numFmtId="0" fontId="2" fillId="2" borderId="0" xfId="0" applyFont="1" applyFill="1"/>
    <xf numFmtId="1" fontId="3" fillId="2" borderId="0" xfId="0" applyNumberFormat="1" applyFont="1" applyFill="1"/>
    <xf numFmtId="1" fontId="0" fillId="2" borderId="0" xfId="0" applyNumberFormat="1" applyFill="1"/>
    <xf numFmtId="0" fontId="3" fillId="2" borderId="0" xfId="0" applyFont="1" applyFill="1"/>
    <xf numFmtId="164" fontId="4" fillId="2" borderId="0" xfId="2" applyNumberFormat="1" applyFont="1" applyFill="1" applyBorder="1" applyAlignment="1">
      <alignment horizontal="right"/>
    </xf>
    <xf numFmtId="0" fontId="5" fillId="2" borderId="0" xfId="0" applyFont="1" applyFill="1"/>
    <xf numFmtId="0" fontId="0" fillId="2" borderId="0" xfId="0" applyFill="1" applyAlignment="1">
      <alignment horizontal="left"/>
    </xf>
    <xf numFmtId="1" fontId="4" fillId="2" borderId="0" xfId="0" applyNumberFormat="1" applyFont="1" applyFill="1"/>
    <xf numFmtId="0" fontId="4" fillId="2" borderId="0" xfId="0" applyFont="1" applyFill="1"/>
    <xf numFmtId="10" fontId="4" fillId="2" borderId="0" xfId="2" applyNumberFormat="1" applyFont="1" applyFill="1"/>
    <xf numFmtId="0" fontId="6" fillId="2" borderId="0" xfId="0" applyFont="1" applyFill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166" fontId="4" fillId="2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165" fontId="4" fillId="2" borderId="9" xfId="3" applyNumberFormat="1" applyFont="1" applyFill="1" applyBorder="1" applyAlignment="1" applyProtection="1">
      <alignment horizontal="left" vertical="top"/>
    </xf>
    <xf numFmtId="3" fontId="4" fillId="2" borderId="11" xfId="2" applyNumberFormat="1" applyFont="1" applyFill="1" applyBorder="1" applyAlignment="1">
      <alignment horizontal="right"/>
    </xf>
    <xf numFmtId="3" fontId="4" fillId="2" borderId="0" xfId="2" applyNumberFormat="1" applyFont="1" applyFill="1" applyBorder="1" applyAlignment="1">
      <alignment horizontal="right"/>
    </xf>
    <xf numFmtId="3" fontId="4" fillId="2" borderId="6" xfId="2" applyNumberFormat="1" applyFont="1" applyFill="1" applyBorder="1" applyAlignment="1">
      <alignment horizontal="right"/>
    </xf>
    <xf numFmtId="167" fontId="4" fillId="2" borderId="11" xfId="2" applyNumberFormat="1" applyFont="1" applyFill="1" applyBorder="1" applyAlignment="1">
      <alignment horizontal="right"/>
    </xf>
    <xf numFmtId="167" fontId="4" fillId="2" borderId="0" xfId="2" applyNumberFormat="1" applyFont="1" applyFill="1" applyBorder="1" applyAlignment="1">
      <alignment horizontal="right"/>
    </xf>
    <xf numFmtId="167" fontId="4" fillId="3" borderId="0" xfId="2" applyNumberFormat="1" applyFont="1" applyFill="1" applyBorder="1" applyAlignment="1">
      <alignment horizontal="right"/>
    </xf>
    <xf numFmtId="167" fontId="4" fillId="3" borderId="6" xfId="2" applyNumberFormat="1" applyFont="1" applyFill="1" applyBorder="1" applyAlignment="1">
      <alignment horizontal="right"/>
    </xf>
    <xf numFmtId="10" fontId="4" fillId="2" borderId="11" xfId="2" applyNumberFormat="1" applyFont="1" applyFill="1" applyBorder="1" applyAlignment="1">
      <alignment horizontal="right"/>
    </xf>
    <xf numFmtId="10" fontId="4" fillId="2" borderId="0" xfId="2" applyNumberFormat="1" applyFont="1" applyFill="1" applyBorder="1" applyAlignment="1">
      <alignment horizontal="right"/>
    </xf>
    <xf numFmtId="164" fontId="4" fillId="2" borderId="6" xfId="2" applyNumberFormat="1" applyFont="1" applyFill="1" applyBorder="1" applyAlignment="1">
      <alignment horizontal="right"/>
    </xf>
    <xf numFmtId="167" fontId="4" fillId="2" borderId="0" xfId="2" applyNumberFormat="1" applyFont="1" applyFill="1" applyBorder="1" applyAlignment="1">
      <alignment horizontal="left"/>
    </xf>
    <xf numFmtId="164" fontId="4" fillId="2" borderId="7" xfId="2" applyNumberFormat="1" applyFont="1" applyFill="1" applyBorder="1" applyAlignment="1">
      <alignment horizontal="right"/>
    </xf>
    <xf numFmtId="164" fontId="4" fillId="2" borderId="8" xfId="2" applyNumberFormat="1" applyFont="1" applyFill="1" applyBorder="1" applyAlignment="1">
      <alignment horizontal="right"/>
    </xf>
    <xf numFmtId="164" fontId="4" fillId="2" borderId="10" xfId="2" applyNumberFormat="1" applyFont="1" applyFill="1" applyBorder="1" applyAlignment="1">
      <alignment horizontal="right"/>
    </xf>
    <xf numFmtId="9" fontId="4" fillId="2" borderId="10" xfId="2" applyFont="1" applyFill="1" applyBorder="1" applyAlignment="1">
      <alignment horizontal="right"/>
    </xf>
    <xf numFmtId="9" fontId="4" fillId="2" borderId="8" xfId="2" applyFont="1" applyFill="1" applyBorder="1" applyAlignment="1">
      <alignment horizontal="right"/>
    </xf>
    <xf numFmtId="164" fontId="4" fillId="2" borderId="11" xfId="2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167" fontId="4" fillId="2" borderId="7" xfId="2" applyNumberFormat="1" applyFont="1" applyFill="1" applyBorder="1" applyAlignment="1">
      <alignment horizontal="right"/>
    </xf>
    <xf numFmtId="167" fontId="4" fillId="3" borderId="10" xfId="2" applyNumberFormat="1" applyFont="1" applyFill="1" applyBorder="1" applyAlignment="1">
      <alignment horizontal="right"/>
    </xf>
    <xf numFmtId="3" fontId="4" fillId="2" borderId="10" xfId="2" applyNumberFormat="1" applyFont="1" applyFill="1" applyBorder="1" applyAlignment="1">
      <alignment horizontal="right"/>
    </xf>
    <xf numFmtId="167" fontId="4" fillId="2" borderId="10" xfId="2" applyNumberFormat="1" applyFont="1" applyFill="1" applyBorder="1" applyAlignment="1">
      <alignment horizontal="right"/>
    </xf>
    <xf numFmtId="167" fontId="4" fillId="2" borderId="8" xfId="2" applyNumberFormat="1" applyFont="1" applyFill="1" applyBorder="1" applyAlignment="1">
      <alignment horizontal="right"/>
    </xf>
    <xf numFmtId="167" fontId="4" fillId="2" borderId="9" xfId="2" applyNumberFormat="1" applyFont="1" applyFill="1" applyBorder="1" applyAlignment="1">
      <alignment horizontal="right"/>
    </xf>
    <xf numFmtId="3" fontId="4" fillId="2" borderId="7" xfId="2" applyNumberFormat="1" applyFont="1" applyFill="1" applyBorder="1" applyAlignment="1">
      <alignment horizontal="right"/>
    </xf>
    <xf numFmtId="3" fontId="4" fillId="2" borderId="8" xfId="2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164" fontId="4" fillId="2" borderId="5" xfId="2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left"/>
    </xf>
    <xf numFmtId="3" fontId="4" fillId="2" borderId="11" xfId="0" applyNumberFormat="1" applyFont="1" applyFill="1" applyBorder="1" applyAlignment="1">
      <alignment horizontal="right"/>
    </xf>
    <xf numFmtId="164" fontId="4" fillId="2" borderId="9" xfId="2" applyNumberFormat="1" applyFont="1" applyFill="1" applyBorder="1"/>
    <xf numFmtId="2" fontId="0" fillId="2" borderId="0" xfId="0" applyNumberFormat="1" applyFill="1"/>
    <xf numFmtId="165" fontId="4" fillId="2" borderId="11" xfId="3" applyNumberFormat="1" applyFont="1" applyFill="1" applyBorder="1" applyAlignment="1" applyProtection="1">
      <alignment horizontal="left" vertical="top"/>
    </xf>
    <xf numFmtId="9" fontId="4" fillId="2" borderId="0" xfId="2" applyFont="1" applyFill="1" applyBorder="1" applyAlignment="1">
      <alignment horizontal="right"/>
    </xf>
    <xf numFmtId="9" fontId="4" fillId="2" borderId="6" xfId="2" applyFont="1" applyFill="1" applyBorder="1" applyAlignment="1">
      <alignment horizontal="right"/>
    </xf>
    <xf numFmtId="167" fontId="4" fillId="2" borderId="6" xfId="2" applyNumberFormat="1" applyFont="1" applyFill="1" applyBorder="1" applyAlignment="1">
      <alignment horizontal="right"/>
    </xf>
    <xf numFmtId="167" fontId="4" fillId="2" borderId="5" xfId="2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center"/>
    </xf>
    <xf numFmtId="164" fontId="4" fillId="2" borderId="5" xfId="2" applyNumberFormat="1" applyFont="1" applyFill="1" applyBorder="1"/>
    <xf numFmtId="165" fontId="4" fillId="2" borderId="5" xfId="3" applyNumberFormat="1" applyFont="1" applyFill="1" applyBorder="1" applyAlignment="1" applyProtection="1">
      <alignment horizontal="left" vertical="top"/>
    </xf>
    <xf numFmtId="164" fontId="6" fillId="2" borderId="6" xfId="2" applyNumberFormat="1" applyFont="1" applyFill="1" applyBorder="1" applyAlignment="1">
      <alignment horizontal="right"/>
    </xf>
    <xf numFmtId="164" fontId="6" fillId="2" borderId="11" xfId="2" applyNumberFormat="1" applyFont="1" applyFill="1" applyBorder="1" applyAlignment="1">
      <alignment horizontal="right"/>
    </xf>
    <xf numFmtId="164" fontId="6" fillId="2" borderId="5" xfId="2" applyNumberFormat="1" applyFont="1" applyFill="1" applyBorder="1" applyAlignment="1">
      <alignment horizontal="right"/>
    </xf>
    <xf numFmtId="10" fontId="0" fillId="2" borderId="0" xfId="2" applyNumberFormat="1" applyFont="1" applyFill="1"/>
    <xf numFmtId="10" fontId="6" fillId="2" borderId="5" xfId="2" applyNumberFormat="1" applyFont="1" applyFill="1" applyBorder="1" applyAlignment="1">
      <alignment horizontal="right"/>
    </xf>
    <xf numFmtId="165" fontId="4" fillId="2" borderId="5" xfId="0" applyNumberFormat="1" applyFont="1" applyFill="1" applyBorder="1"/>
    <xf numFmtId="1" fontId="4" fillId="2" borderId="0" xfId="1" applyNumberFormat="1" applyFont="1" applyFill="1" applyAlignment="1">
      <alignment vertical="center"/>
    </xf>
    <xf numFmtId="164" fontId="4" fillId="2" borderId="0" xfId="2" applyNumberFormat="1" applyFont="1" applyFill="1"/>
    <xf numFmtId="3" fontId="4" fillId="2" borderId="0" xfId="0" applyNumberFormat="1" applyFont="1" applyFill="1"/>
    <xf numFmtId="0" fontId="3" fillId="2" borderId="0" xfId="0" applyFont="1" applyFill="1" applyAlignment="1">
      <alignment horizontal="right"/>
    </xf>
    <xf numFmtId="167" fontId="4" fillId="2" borderId="0" xfId="0" applyNumberFormat="1" applyFont="1" applyFill="1"/>
    <xf numFmtId="10" fontId="4" fillId="2" borderId="0" xfId="2" applyNumberFormat="1" applyFont="1" applyFill="1" applyBorder="1"/>
    <xf numFmtId="164" fontId="4" fillId="2" borderId="0" xfId="2" applyNumberFormat="1" applyFont="1" applyFill="1" applyBorder="1"/>
    <xf numFmtId="164" fontId="4" fillId="2" borderId="0" xfId="0" applyNumberFormat="1" applyFont="1" applyFill="1"/>
    <xf numFmtId="10" fontId="3" fillId="2" borderId="0" xfId="2" applyNumberFormat="1" applyFont="1" applyFill="1" applyAlignment="1">
      <alignment horizontal="right"/>
    </xf>
    <xf numFmtId="10" fontId="0" fillId="2" borderId="0" xfId="0" applyNumberFormat="1" applyFill="1"/>
    <xf numFmtId="167" fontId="3" fillId="2" borderId="0" xfId="0" applyNumberFormat="1" applyFont="1" applyFill="1" applyAlignment="1">
      <alignment horizontal="right"/>
    </xf>
    <xf numFmtId="168" fontId="0" fillId="2" borderId="0" xfId="0" applyNumberFormat="1" applyFill="1"/>
    <xf numFmtId="168" fontId="4" fillId="2" borderId="0" xfId="0" applyNumberFormat="1" applyFont="1" applyFill="1"/>
    <xf numFmtId="164" fontId="0" fillId="2" borderId="0" xfId="2" applyNumberFormat="1" applyFont="1" applyFill="1"/>
    <xf numFmtId="0" fontId="4" fillId="2" borderId="0" xfId="3" applyNumberFormat="1" applyFont="1" applyFill="1" applyBorder="1" applyAlignment="1" applyProtection="1">
      <alignment horizontal="left" vertical="top"/>
    </xf>
    <xf numFmtId="0" fontId="3" fillId="2" borderId="0" xfId="0" quotePrefix="1" applyFont="1" applyFill="1"/>
    <xf numFmtId="0" fontId="10" fillId="2" borderId="0" xfId="0" applyFont="1" applyFill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165" fontId="4" fillId="2" borderId="2" xfId="3" applyNumberFormat="1" applyFont="1" applyFill="1" applyBorder="1" applyAlignment="1" applyProtection="1">
      <alignment horizontal="left" vertical="top"/>
    </xf>
    <xf numFmtId="3" fontId="4" fillId="2" borderId="3" xfId="2" applyNumberFormat="1" applyFont="1" applyFill="1" applyBorder="1" applyAlignment="1">
      <alignment horizontal="right"/>
    </xf>
    <xf numFmtId="167" fontId="4" fillId="2" borderId="3" xfId="2" applyNumberFormat="1" applyFont="1" applyFill="1" applyBorder="1" applyAlignment="1">
      <alignment horizontal="right"/>
    </xf>
    <xf numFmtId="3" fontId="4" fillId="3" borderId="3" xfId="2" applyNumberFormat="1" applyFont="1" applyFill="1" applyBorder="1" applyAlignment="1">
      <alignment horizontal="right"/>
    </xf>
    <xf numFmtId="167" fontId="4" fillId="3" borderId="3" xfId="2" applyNumberFormat="1" applyFont="1" applyFill="1" applyBorder="1" applyAlignment="1">
      <alignment horizontal="right"/>
    </xf>
    <xf numFmtId="10" fontId="4" fillId="2" borderId="2" xfId="2" applyNumberFormat="1" applyFont="1" applyFill="1" applyBorder="1" applyAlignment="1">
      <alignment horizontal="right"/>
    </xf>
    <xf numFmtId="10" fontId="4" fillId="2" borderId="3" xfId="2" applyNumberFormat="1" applyFont="1" applyFill="1" applyBorder="1" applyAlignment="1">
      <alignment horizontal="right"/>
    </xf>
    <xf numFmtId="164" fontId="4" fillId="2" borderId="3" xfId="2" applyNumberFormat="1" applyFont="1" applyFill="1" applyBorder="1" applyAlignment="1">
      <alignment horizontal="right"/>
    </xf>
    <xf numFmtId="164" fontId="4" fillId="2" borderId="4" xfId="2" applyNumberFormat="1" applyFont="1" applyFill="1" applyBorder="1" applyAlignment="1">
      <alignment horizontal="right"/>
    </xf>
    <xf numFmtId="10" fontId="4" fillId="2" borderId="4" xfId="2" applyNumberFormat="1" applyFont="1" applyFill="1" applyBorder="1" applyAlignment="1">
      <alignment horizontal="right"/>
    </xf>
    <xf numFmtId="164" fontId="4" fillId="2" borderId="1" xfId="2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4" fillId="2" borderId="3" xfId="2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left"/>
    </xf>
    <xf numFmtId="0" fontId="0" fillId="2" borderId="3" xfId="0" applyFill="1" applyBorder="1"/>
    <xf numFmtId="164" fontId="4" fillId="2" borderId="4" xfId="2" applyNumberFormat="1" applyFont="1" applyFill="1" applyBorder="1"/>
  </cellXfs>
  <cellStyles count="4">
    <cellStyle name="Hyperkobling" xfId="3" builtinId="8"/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0DEFD-DEC6-469A-9E3B-51A8EAE6F2B5}">
  <dimension ref="B1:GP59"/>
  <sheetViews>
    <sheetView tabSelected="1" workbookViewId="0">
      <selection activeCell="I57" sqref="I57"/>
    </sheetView>
  </sheetViews>
  <sheetFormatPr baseColWidth="10" defaultColWidth="10.25" defaultRowHeight="14.25" x14ac:dyDescent="0.2"/>
  <cols>
    <col min="1" max="1" width="4.25" style="101" customWidth="1"/>
    <col min="2" max="2" width="29.125" style="101" bestFit="1" customWidth="1"/>
    <col min="3" max="9" width="8.375" style="101" customWidth="1"/>
    <col min="10" max="10" width="4.125" style="101" customWidth="1"/>
    <col min="11" max="14" width="8.375" style="101" customWidth="1"/>
    <col min="15" max="15" width="10" style="101" customWidth="1"/>
    <col min="16" max="16" width="10.375" style="101" customWidth="1"/>
    <col min="17" max="17" width="9.625" style="101" customWidth="1"/>
    <col min="18" max="20" width="8.375" style="101" customWidth="1"/>
    <col min="21" max="21" width="10" style="101" customWidth="1"/>
    <col min="22" max="22" width="10.25" style="101"/>
    <col min="23" max="24" width="10" style="101" customWidth="1"/>
    <col min="25" max="25" width="4.125" style="101" customWidth="1"/>
    <col min="26" max="29" width="9.375" style="101" customWidth="1"/>
    <col min="30" max="31" width="9.5" style="101" customWidth="1"/>
    <col min="32" max="36" width="10" style="101" customWidth="1"/>
    <col min="37" max="37" width="4.125" style="101" customWidth="1"/>
    <col min="38" max="40" width="10" style="101" customWidth="1"/>
    <col min="41" max="41" width="4.125" style="101" customWidth="1"/>
    <col min="42" max="43" width="10" style="101" customWidth="1"/>
    <col min="44" max="44" width="14.875" style="101" customWidth="1"/>
    <col min="45" max="45" width="12.5" style="101" customWidth="1"/>
    <col min="46" max="48" width="10" style="101" customWidth="1"/>
    <col min="49" max="49" width="3.5" style="101" customWidth="1"/>
    <col min="50" max="54" width="8.625" style="101" customWidth="1"/>
    <col min="55" max="55" width="4.125" style="101" customWidth="1"/>
    <col min="56" max="58" width="10" style="101" customWidth="1"/>
    <col min="59" max="59" width="4" style="101" customWidth="1"/>
    <col min="60" max="64" width="10" style="101" customWidth="1"/>
    <col min="65" max="65" width="4.125" style="101" customWidth="1"/>
    <col min="66" max="67" width="10" style="101" customWidth="1"/>
    <col min="68" max="68" width="4.125" style="101" customWidth="1"/>
    <col min="69" max="70" width="10" style="101" customWidth="1"/>
    <col min="71" max="71" width="4.125" style="101" customWidth="1"/>
    <col min="72" max="73" width="10" style="101" customWidth="1"/>
    <col min="74" max="74" width="4.125" style="101" customWidth="1"/>
    <col min="75" max="77" width="10" style="101" customWidth="1"/>
    <col min="78" max="78" width="10.375" style="101" customWidth="1"/>
    <col min="79" max="80" width="10" style="101" customWidth="1"/>
    <col min="81" max="81" width="4.125" style="101" customWidth="1"/>
    <col min="82" max="82" width="9.375" style="101" customWidth="1"/>
    <col min="83" max="83" width="10.25" style="101" customWidth="1"/>
    <col min="84" max="84" width="10.375" style="101" customWidth="1"/>
    <col min="85" max="90" width="9.375" style="101" customWidth="1"/>
    <col min="91" max="91" width="9.625" style="101" customWidth="1"/>
    <col min="92" max="105" width="9.375" style="101" customWidth="1"/>
    <col min="106" max="106" width="4.25" style="101" customWidth="1"/>
    <col min="107" max="107" width="9.375" style="101" customWidth="1"/>
    <col min="108" max="108" width="4.25" style="101" customWidth="1"/>
    <col min="109" max="117" width="10.25" style="101"/>
    <col min="118" max="118" width="4.25" style="101" customWidth="1"/>
    <col min="119" max="119" width="22.625" style="101" customWidth="1"/>
    <col min="120" max="120" width="10" style="101" customWidth="1"/>
    <col min="121" max="126" width="9.375" style="101" customWidth="1"/>
    <col min="127" max="127" width="4" style="102" customWidth="1"/>
    <col min="128" max="130" width="9" style="101" customWidth="1"/>
    <col min="131" max="131" width="4.125" style="101" customWidth="1"/>
    <col min="132" max="132" width="9.375" style="101" customWidth="1"/>
    <col min="133" max="134" width="10.25" style="101"/>
    <col min="135" max="135" width="4.125" style="101" customWidth="1"/>
    <col min="136" max="144" width="10.5" style="101" customWidth="1"/>
    <col min="145" max="145" width="4.125" style="101" customWidth="1"/>
    <col min="146" max="154" width="10.5" style="101" customWidth="1"/>
    <col min="155" max="155" width="4.125" style="101" customWidth="1"/>
    <col min="156" max="157" width="9" style="101" customWidth="1"/>
    <col min="158" max="158" width="10.25" style="101"/>
    <col min="159" max="159" width="4.125" style="101" customWidth="1"/>
    <col min="160" max="161" width="9.25" style="101" customWidth="1"/>
    <col min="162" max="162" width="10.25" style="101"/>
    <col min="163" max="163" width="4.125" style="101" customWidth="1"/>
    <col min="164" max="166" width="10.25" style="101"/>
    <col min="167" max="167" width="4.125" style="101" customWidth="1"/>
    <col min="168" max="170" width="10.25" style="101"/>
    <col min="171" max="171" width="4.125" style="101" customWidth="1"/>
    <col min="172" max="172" width="9.375" style="101" customWidth="1"/>
    <col min="173" max="174" width="10.25" style="101"/>
    <col min="175" max="175" width="4.125" style="101" customWidth="1"/>
    <col min="176" max="178" width="9" style="101" customWidth="1"/>
    <col min="179" max="179" width="4.125" style="101" customWidth="1"/>
    <col min="180" max="182" width="8.375" style="101" customWidth="1"/>
    <col min="183" max="183" width="4.125" style="101" customWidth="1"/>
    <col min="184" max="184" width="9" style="101" customWidth="1"/>
    <col min="185" max="186" width="7.75" style="101" customWidth="1"/>
    <col min="187" max="187" width="4.125" style="101" customWidth="1"/>
    <col min="188" max="189" width="9" style="101" customWidth="1"/>
    <col min="190" max="190" width="8.375" style="101" customWidth="1"/>
    <col min="191" max="191" width="4.125" style="101" customWidth="1"/>
    <col min="192" max="192" width="9" style="101" customWidth="1"/>
    <col min="193" max="194" width="9.875" style="101" customWidth="1"/>
    <col min="195" max="195" width="4.125" style="101" customWidth="1"/>
    <col min="196" max="16384" width="10.25" style="101"/>
  </cols>
  <sheetData>
    <row r="1" spans="2:198" s="1" customFormat="1" ht="15.75" x14ac:dyDescent="0.25">
      <c r="B1" s="2" t="s">
        <v>0</v>
      </c>
      <c r="C1" s="3"/>
      <c r="D1" s="4"/>
      <c r="K1" s="5"/>
      <c r="Z1" s="5"/>
      <c r="AL1" s="5"/>
      <c r="AP1" s="5"/>
      <c r="AX1" s="5"/>
      <c r="AY1" s="5"/>
      <c r="BN1" s="6"/>
      <c r="CJ1" s="7"/>
      <c r="DE1" s="5"/>
      <c r="DO1" s="5"/>
      <c r="DW1" s="8"/>
    </row>
    <row r="2" spans="2:198" s="1" customFormat="1" ht="15.75" x14ac:dyDescent="0.25">
      <c r="B2" s="2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1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W2" s="8"/>
      <c r="DX2" s="5"/>
      <c r="EB2" s="5"/>
      <c r="EF2" s="5"/>
      <c r="EG2" s="10"/>
      <c r="EH2" s="10"/>
      <c r="EI2" s="10"/>
      <c r="EJ2" s="10"/>
      <c r="EK2" s="10"/>
      <c r="EL2" s="10"/>
      <c r="EP2" s="5"/>
      <c r="EZ2" s="5"/>
      <c r="FD2" s="12"/>
      <c r="FE2" s="12"/>
      <c r="FF2" s="12"/>
      <c r="FH2" s="5"/>
      <c r="FL2" s="5"/>
      <c r="FP2" s="5"/>
      <c r="FT2" s="5"/>
      <c r="FX2" s="5"/>
      <c r="GB2" s="5"/>
      <c r="GF2" s="5"/>
      <c r="GJ2" s="5"/>
      <c r="GN2" s="5"/>
    </row>
    <row r="3" spans="2:198" s="1" customFormat="1" x14ac:dyDescent="0.2">
      <c r="C3" s="10" t="s">
        <v>1</v>
      </c>
      <c r="D3" s="10"/>
      <c r="E3" s="10"/>
      <c r="F3" s="10"/>
      <c r="G3" s="10"/>
      <c r="H3" s="10"/>
      <c r="I3" s="10"/>
      <c r="J3" s="10"/>
      <c r="K3" s="10" t="s">
        <v>2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 t="s">
        <v>3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 t="s">
        <v>4</v>
      </c>
      <c r="AM3" s="10"/>
      <c r="AN3" s="10"/>
      <c r="AO3" s="10"/>
      <c r="AP3" s="10" t="s">
        <v>5</v>
      </c>
      <c r="AQ3" s="10"/>
      <c r="AR3" s="10"/>
      <c r="AS3" s="10"/>
      <c r="AT3" s="10"/>
      <c r="AU3" s="10"/>
      <c r="AV3" s="10"/>
      <c r="AW3" s="10"/>
      <c r="AX3" s="10" t="s">
        <v>6</v>
      </c>
      <c r="AY3" s="10"/>
      <c r="AZ3" s="10"/>
      <c r="BA3" s="10"/>
      <c r="BB3" s="10"/>
      <c r="BC3" s="10"/>
      <c r="BD3" s="10" t="s">
        <v>7</v>
      </c>
      <c r="BE3" s="10"/>
      <c r="BF3" s="10"/>
      <c r="BG3" s="10"/>
      <c r="BH3" s="10" t="s">
        <v>8</v>
      </c>
      <c r="BI3" s="10"/>
      <c r="BJ3" s="10"/>
      <c r="BK3" s="10"/>
      <c r="BL3" s="10"/>
      <c r="BM3" s="10"/>
      <c r="BN3" s="10" t="s">
        <v>9</v>
      </c>
      <c r="BO3" s="10"/>
      <c r="BP3" s="10"/>
      <c r="BQ3" s="10" t="s">
        <v>10</v>
      </c>
      <c r="BR3" s="10"/>
      <c r="BS3" s="10"/>
      <c r="BT3" s="10" t="s">
        <v>11</v>
      </c>
      <c r="BU3" s="10"/>
      <c r="BV3" s="10"/>
      <c r="BW3" s="10" t="s">
        <v>12</v>
      </c>
      <c r="BX3" s="10"/>
      <c r="BY3" s="10"/>
      <c r="BZ3" s="11"/>
      <c r="CA3" s="10"/>
      <c r="CB3" s="10"/>
      <c r="CC3" s="10"/>
      <c r="CD3" s="10" t="s">
        <v>13</v>
      </c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 t="s">
        <v>14</v>
      </c>
      <c r="DF3" s="10"/>
      <c r="DG3" s="10"/>
      <c r="DH3" s="10"/>
      <c r="DI3" s="10"/>
      <c r="DJ3" s="10"/>
      <c r="DK3" s="10"/>
      <c r="DL3" s="10"/>
      <c r="DM3" s="10"/>
      <c r="DN3" s="10"/>
      <c r="DO3" s="10" t="s">
        <v>15</v>
      </c>
      <c r="DW3" s="8"/>
      <c r="EF3" s="10" t="s">
        <v>16</v>
      </c>
      <c r="EG3" s="10"/>
      <c r="EH3" s="10"/>
      <c r="EI3" s="10"/>
      <c r="EJ3" s="10"/>
      <c r="EK3" s="10"/>
      <c r="EL3" s="10"/>
      <c r="EP3" s="10" t="s">
        <v>16</v>
      </c>
    </row>
    <row r="4" spans="2:198" s="1" customFormat="1" ht="39" customHeight="1" x14ac:dyDescent="0.2">
      <c r="B4" s="13" t="s">
        <v>17</v>
      </c>
      <c r="C4" s="14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 t="s">
        <v>23</v>
      </c>
      <c r="I4" s="16" t="s">
        <v>24</v>
      </c>
      <c r="J4" s="17"/>
      <c r="K4" s="14" t="s">
        <v>25</v>
      </c>
      <c r="L4" s="15" t="s">
        <v>26</v>
      </c>
      <c r="M4" s="15" t="s">
        <v>27</v>
      </c>
      <c r="N4" s="18" t="s">
        <v>28</v>
      </c>
      <c r="O4" s="15" t="s">
        <v>29</v>
      </c>
      <c r="P4" s="18" t="s">
        <v>30</v>
      </c>
      <c r="Q4" s="15" t="s">
        <v>31</v>
      </c>
      <c r="R4" s="18" t="s">
        <v>32</v>
      </c>
      <c r="S4" s="15" t="s">
        <v>33</v>
      </c>
      <c r="T4" s="15" t="s">
        <v>34</v>
      </c>
      <c r="U4" s="15" t="s">
        <v>35</v>
      </c>
      <c r="V4" s="18" t="s">
        <v>36</v>
      </c>
      <c r="W4" s="15" t="s">
        <v>37</v>
      </c>
      <c r="X4" s="19" t="s">
        <v>38</v>
      </c>
      <c r="Y4" s="20"/>
      <c r="Z4" s="14" t="s">
        <v>39</v>
      </c>
      <c r="AA4" s="15" t="s">
        <v>40</v>
      </c>
      <c r="AB4" s="15" t="s">
        <v>41</v>
      </c>
      <c r="AC4" s="15" t="s">
        <v>42</v>
      </c>
      <c r="AD4" s="15" t="s">
        <v>43</v>
      </c>
      <c r="AE4" s="15" t="s">
        <v>44</v>
      </c>
      <c r="AF4" s="15" t="s">
        <v>45</v>
      </c>
      <c r="AG4" s="15" t="s">
        <v>46</v>
      </c>
      <c r="AH4" s="15" t="s">
        <v>47</v>
      </c>
      <c r="AI4" s="15" t="s">
        <v>48</v>
      </c>
      <c r="AJ4" s="16" t="s">
        <v>49</v>
      </c>
      <c r="AK4" s="21"/>
      <c r="AL4" s="22" t="s">
        <v>50</v>
      </c>
      <c r="AM4" s="15" t="s">
        <v>51</v>
      </c>
      <c r="AN4" s="23" t="s">
        <v>52</v>
      </c>
      <c r="AO4" s="20"/>
      <c r="AP4" s="24" t="s">
        <v>53</v>
      </c>
      <c r="AQ4" s="16" t="s">
        <v>54</v>
      </c>
      <c r="AR4" s="16" t="s">
        <v>55</v>
      </c>
      <c r="AS4" s="16" t="s">
        <v>56</v>
      </c>
      <c r="AT4" s="16" t="s">
        <v>57</v>
      </c>
      <c r="AU4" s="24" t="s">
        <v>58</v>
      </c>
      <c r="AV4" s="24" t="s">
        <v>59</v>
      </c>
      <c r="AW4" s="21"/>
      <c r="AX4" s="14" t="s">
        <v>60</v>
      </c>
      <c r="AY4" s="15" t="s">
        <v>61</v>
      </c>
      <c r="AZ4" s="15" t="s">
        <v>62</v>
      </c>
      <c r="BA4" s="15" t="s">
        <v>63</v>
      </c>
      <c r="BB4" s="16" t="s">
        <v>64</v>
      </c>
      <c r="BC4" s="20"/>
      <c r="BD4" s="14" t="s">
        <v>65</v>
      </c>
      <c r="BE4" s="15" t="s">
        <v>66</v>
      </c>
      <c r="BF4" s="16" t="s">
        <v>67</v>
      </c>
      <c r="BG4" s="20"/>
      <c r="BH4" s="14" t="s">
        <v>68</v>
      </c>
      <c r="BI4" s="16" t="s">
        <v>69</v>
      </c>
      <c r="BJ4" s="24" t="s">
        <v>70</v>
      </c>
      <c r="BK4" s="24" t="s">
        <v>71</v>
      </c>
      <c r="BL4" s="24" t="s">
        <v>72</v>
      </c>
      <c r="BM4" s="21"/>
      <c r="BN4" s="16" t="s">
        <v>73</v>
      </c>
      <c r="BO4" s="16" t="s">
        <v>74</v>
      </c>
      <c r="BP4" s="21"/>
      <c r="BQ4" s="16" t="s">
        <v>73</v>
      </c>
      <c r="BR4" s="16" t="s">
        <v>74</v>
      </c>
      <c r="BS4" s="21"/>
      <c r="BT4" s="16" t="s">
        <v>73</v>
      </c>
      <c r="BU4" s="16" t="s">
        <v>74</v>
      </c>
      <c r="BV4" s="21"/>
      <c r="BW4" s="24" t="s">
        <v>75</v>
      </c>
      <c r="BX4" s="16" t="s">
        <v>76</v>
      </c>
      <c r="BY4" s="16" t="s">
        <v>77</v>
      </c>
      <c r="BZ4" s="25" t="s">
        <v>78</v>
      </c>
      <c r="CA4" s="23" t="s">
        <v>79</v>
      </c>
      <c r="CB4" s="23" t="s">
        <v>80</v>
      </c>
      <c r="CC4" s="20"/>
      <c r="CD4" s="22" t="s">
        <v>81</v>
      </c>
      <c r="CE4" s="15" t="s">
        <v>82</v>
      </c>
      <c r="CF4" s="18" t="s">
        <v>83</v>
      </c>
      <c r="CG4" s="15" t="s">
        <v>84</v>
      </c>
      <c r="CH4" s="15" t="s">
        <v>85</v>
      </c>
      <c r="CI4" s="15" t="s">
        <v>86</v>
      </c>
      <c r="CJ4" s="18" t="s">
        <v>87</v>
      </c>
      <c r="CK4" s="15" t="s">
        <v>88</v>
      </c>
      <c r="CL4" s="26" t="s">
        <v>89</v>
      </c>
      <c r="CM4" s="18" t="s">
        <v>90</v>
      </c>
      <c r="CN4" s="15" t="s">
        <v>91</v>
      </c>
      <c r="CO4" s="15" t="s">
        <v>92</v>
      </c>
      <c r="CP4" s="15" t="s">
        <v>93</v>
      </c>
      <c r="CQ4" s="15" t="s">
        <v>94</v>
      </c>
      <c r="CR4" s="18" t="s">
        <v>18</v>
      </c>
      <c r="CS4" s="15" t="s">
        <v>95</v>
      </c>
      <c r="CT4" s="15" t="s">
        <v>96</v>
      </c>
      <c r="CU4" s="18" t="s">
        <v>97</v>
      </c>
      <c r="CV4" s="15" t="s">
        <v>98</v>
      </c>
      <c r="CW4" s="15" t="s">
        <v>99</v>
      </c>
      <c r="CX4" s="18" t="s">
        <v>100</v>
      </c>
      <c r="CY4" s="15" t="s">
        <v>101</v>
      </c>
      <c r="CZ4" s="15" t="s">
        <v>102</v>
      </c>
      <c r="DA4" s="16" t="s">
        <v>103</v>
      </c>
      <c r="DB4" s="20"/>
      <c r="DC4" s="25" t="s">
        <v>104</v>
      </c>
      <c r="DD4" s="20"/>
      <c r="DE4" s="27">
        <v>45473</v>
      </c>
      <c r="DF4" s="25" t="s">
        <v>105</v>
      </c>
      <c r="DG4" s="25" t="s">
        <v>106</v>
      </c>
      <c r="DH4" s="25" t="s">
        <v>107</v>
      </c>
      <c r="DI4" s="25" t="s">
        <v>108</v>
      </c>
      <c r="DJ4" s="24" t="s">
        <v>109</v>
      </c>
      <c r="DK4" s="16" t="s">
        <v>110</v>
      </c>
      <c r="DL4" s="16" t="s">
        <v>111</v>
      </c>
      <c r="DM4" s="16" t="s">
        <v>112</v>
      </c>
      <c r="DN4" s="20"/>
      <c r="DO4" s="24" t="s">
        <v>113</v>
      </c>
      <c r="DP4" s="28" t="s">
        <v>114</v>
      </c>
      <c r="DQ4" s="24" t="s">
        <v>115</v>
      </c>
      <c r="DR4" s="24" t="s">
        <v>116</v>
      </c>
      <c r="DS4" s="24" t="s">
        <v>117</v>
      </c>
      <c r="DT4" s="24" t="s">
        <v>118</v>
      </c>
      <c r="DU4" s="24" t="s">
        <v>119</v>
      </c>
      <c r="DV4" s="24" t="s">
        <v>120</v>
      </c>
      <c r="DW4" s="29"/>
      <c r="DX4" s="24" t="s">
        <v>121</v>
      </c>
      <c r="DY4" s="24" t="s">
        <v>122</v>
      </c>
      <c r="DZ4" s="24" t="s">
        <v>123</v>
      </c>
      <c r="EA4" s="20"/>
      <c r="EB4" s="24" t="s">
        <v>124</v>
      </c>
      <c r="EC4" s="24" t="s">
        <v>125</v>
      </c>
      <c r="ED4" s="24" t="s">
        <v>126</v>
      </c>
      <c r="EE4" s="20"/>
      <c r="EF4" s="22" t="s">
        <v>127</v>
      </c>
      <c r="EG4" s="30" t="s">
        <v>128</v>
      </c>
      <c r="EH4" s="30" t="s">
        <v>129</v>
      </c>
      <c r="EI4" s="30" t="s">
        <v>130</v>
      </c>
      <c r="EJ4" s="30" t="s">
        <v>131</v>
      </c>
      <c r="EK4" s="30" t="s">
        <v>132</v>
      </c>
      <c r="EL4" s="30" t="s">
        <v>133</v>
      </c>
      <c r="EM4" s="23" t="s">
        <v>134</v>
      </c>
      <c r="EN4" s="16" t="s">
        <v>135</v>
      </c>
      <c r="EO4" s="20"/>
      <c r="EP4" s="22" t="s">
        <v>127</v>
      </c>
      <c r="EQ4" s="30" t="s">
        <v>128</v>
      </c>
      <c r="ER4" s="30" t="s">
        <v>129</v>
      </c>
      <c r="ES4" s="30" t="s">
        <v>130</v>
      </c>
      <c r="ET4" s="30" t="s">
        <v>131</v>
      </c>
      <c r="EU4" s="30" t="s">
        <v>132</v>
      </c>
      <c r="EV4" s="30" t="s">
        <v>133</v>
      </c>
      <c r="EW4" s="23" t="s">
        <v>134</v>
      </c>
      <c r="EX4" s="16" t="s">
        <v>135</v>
      </c>
      <c r="EY4" s="20"/>
      <c r="EZ4" s="24" t="s">
        <v>136</v>
      </c>
      <c r="FA4" s="24" t="s">
        <v>137</v>
      </c>
      <c r="FB4" s="24" t="s">
        <v>138</v>
      </c>
      <c r="FD4" s="24" t="s">
        <v>85</v>
      </c>
      <c r="FE4" s="24" t="s">
        <v>86</v>
      </c>
      <c r="FF4" s="16" t="s">
        <v>139</v>
      </c>
      <c r="FH4" s="24" t="s">
        <v>140</v>
      </c>
      <c r="FI4" s="24" t="s">
        <v>141</v>
      </c>
      <c r="FJ4" s="16" t="s">
        <v>142</v>
      </c>
      <c r="FL4" s="24" t="s">
        <v>140</v>
      </c>
      <c r="FM4" s="24" t="s">
        <v>141</v>
      </c>
      <c r="FN4" s="16" t="s">
        <v>142</v>
      </c>
      <c r="FO4" s="20"/>
      <c r="FP4" s="24" t="s">
        <v>143</v>
      </c>
      <c r="FQ4" s="24" t="s">
        <v>144</v>
      </c>
      <c r="FR4" s="24" t="s">
        <v>145</v>
      </c>
      <c r="FT4" s="24" t="s">
        <v>146</v>
      </c>
      <c r="FU4" s="16" t="s">
        <v>147</v>
      </c>
      <c r="FV4" s="16" t="s">
        <v>148</v>
      </c>
      <c r="FX4" s="24" t="s">
        <v>149</v>
      </c>
      <c r="FY4" s="16" t="s">
        <v>150</v>
      </c>
      <c r="FZ4" s="24" t="s">
        <v>151</v>
      </c>
      <c r="GB4" s="24" t="s">
        <v>152</v>
      </c>
      <c r="GC4" s="24" t="s">
        <v>153</v>
      </c>
      <c r="GD4" s="24" t="s">
        <v>154</v>
      </c>
      <c r="GF4" s="24" t="s">
        <v>155</v>
      </c>
      <c r="GG4" s="24" t="s">
        <v>156</v>
      </c>
      <c r="GH4" s="24" t="s">
        <v>157</v>
      </c>
      <c r="GI4" s="20"/>
      <c r="GJ4" s="24" t="s">
        <v>158</v>
      </c>
      <c r="GK4" s="24" t="s">
        <v>159</v>
      </c>
      <c r="GL4" s="24" t="s">
        <v>159</v>
      </c>
      <c r="GM4" s="20"/>
      <c r="GN4" s="24" t="s">
        <v>160</v>
      </c>
    </row>
    <row r="5" spans="2:198" s="1" customFormat="1" x14ac:dyDescent="0.2">
      <c r="B5" s="31" t="s">
        <v>161</v>
      </c>
      <c r="C5" s="32">
        <v>7437.2110000000002</v>
      </c>
      <c r="D5" s="33">
        <v>7222.0575000000008</v>
      </c>
      <c r="E5" s="33">
        <v>6013.6360000000004</v>
      </c>
      <c r="F5" s="33">
        <v>2727.39</v>
      </c>
      <c r="G5" s="33">
        <v>5280.1890000000003</v>
      </c>
      <c r="H5" s="33">
        <v>10164.601000000001</v>
      </c>
      <c r="I5" s="34">
        <v>8741.0259999999998</v>
      </c>
      <c r="J5" s="33"/>
      <c r="K5" s="35">
        <v>80.388000000000005</v>
      </c>
      <c r="L5" s="36">
        <v>21.614000000000001</v>
      </c>
      <c r="M5" s="36">
        <v>0.14699999999999999</v>
      </c>
      <c r="N5" s="37">
        <f t="shared" ref="N5:N53" si="0">K5+L5+M5</f>
        <v>102.14900000000002</v>
      </c>
      <c r="O5" s="36">
        <v>52.156000000000006</v>
      </c>
      <c r="P5" s="37">
        <f t="shared" ref="P5:P53" si="1">N5-O5</f>
        <v>49.993000000000009</v>
      </c>
      <c r="Q5" s="36">
        <v>1.2290000000000001</v>
      </c>
      <c r="R5" s="37">
        <f t="shared" ref="R5:R53" si="2">P5-Q5</f>
        <v>48.76400000000001</v>
      </c>
      <c r="S5" s="36">
        <v>11.281000000000001</v>
      </c>
      <c r="T5" s="36">
        <v>1.036</v>
      </c>
      <c r="U5" s="36">
        <v>-5.5060000000000002</v>
      </c>
      <c r="V5" s="37">
        <f t="shared" ref="V5:V53" si="3">R5+S5+T5+U5</f>
        <v>55.57500000000001</v>
      </c>
      <c r="W5" s="36">
        <v>11.355</v>
      </c>
      <c r="X5" s="38">
        <f t="shared" ref="X5:X53" si="4">V5-W5</f>
        <v>44.220000000000013</v>
      </c>
      <c r="Y5" s="36"/>
      <c r="Z5" s="39">
        <f t="shared" ref="Z5:Z53" si="5">K5/D5*2</f>
        <v>2.2261800047978016E-2</v>
      </c>
      <c r="AA5" s="40">
        <f t="shared" ref="AA5:AA53" si="6">L5/D5*2</f>
        <v>5.9855519012414395E-3</v>
      </c>
      <c r="AB5" s="6">
        <f t="shared" ref="AB5:AB53" si="7">O5/(N5+S5+T5)</f>
        <v>0.45564621809096145</v>
      </c>
      <c r="AC5" s="6">
        <f t="shared" ref="AC5:AC53" si="8">O5/(N5+S5)</f>
        <v>0.45980781098474827</v>
      </c>
      <c r="AD5" s="6">
        <f t="shared" ref="AD5:AD53" si="9">O5/N5</f>
        <v>0.51058747515883662</v>
      </c>
      <c r="AE5" s="40">
        <f t="shared" ref="AE5:AE53" si="10">O5/D5*2</f>
        <v>1.444352942357493E-2</v>
      </c>
      <c r="AF5" s="40">
        <f t="shared" ref="AF5:AF52" si="11">X5/D5*2</f>
        <v>1.2245817760381998E-2</v>
      </c>
      <c r="AG5" s="40">
        <f t="shared" ref="AG5:AG53" si="12">X5/EB5*2</f>
        <v>2.7068494861301518E-2</v>
      </c>
      <c r="AH5" s="40">
        <f t="shared" ref="AH5:AH53" si="13">(P5+S5+T5)/EB5*2</f>
        <v>3.8141970031833956E-2</v>
      </c>
      <c r="AI5" s="40">
        <f t="shared" ref="AI5:AI53" si="14">R5/EB5*2</f>
        <v>2.985002450059944E-2</v>
      </c>
      <c r="AJ5" s="41">
        <f t="shared" ref="AJ5:AJ53" si="15">X5/FP5*2</f>
        <v>0.10029775186286292</v>
      </c>
      <c r="AK5" s="42"/>
      <c r="AL5" s="43">
        <f t="shared" ref="AL5:AL53" si="16">(FV5-FU5)/FU5</f>
        <v>7.3388788566200375E-2</v>
      </c>
      <c r="AM5" s="6">
        <f t="shared" ref="AM5:AM53" si="17">(GD5-GC5)/GC5</f>
        <v>6.9599636134078754E-2</v>
      </c>
      <c r="AN5" s="44">
        <f t="shared" ref="AN5:AN53" si="18">(GH5-GG5)/GG5</f>
        <v>5.3177118645520507E-3</v>
      </c>
      <c r="AO5" s="36"/>
      <c r="AP5" s="43">
        <f t="shared" ref="AP5:AP53" si="19">G5/E5</f>
        <v>0.87803601681245758</v>
      </c>
      <c r="AQ5" s="45">
        <f t="shared" ref="AQ5:AQ53" si="20">CT5/(CT5+CS5+CV5+CY5)</f>
        <v>0.81763453787649332</v>
      </c>
      <c r="AR5" s="45">
        <f t="shared" ref="AR5:AR53" si="21">((CS5+CV5+CY5)-DC5)/CR5</f>
        <v>2.7840947365887589E-2</v>
      </c>
      <c r="AS5" s="45">
        <f t="shared" ref="AS5:AS53" si="22">(CS5+CV5+50%*F5)/C5</f>
        <v>0.32818929031326394</v>
      </c>
      <c r="AT5" s="45">
        <f t="shared" ref="AT5:AT53" si="23">DC5/DA5</f>
        <v>0.13051075194720171</v>
      </c>
      <c r="AU5" s="46">
        <v>1.62</v>
      </c>
      <c r="AV5" s="47">
        <v>1.41</v>
      </c>
      <c r="AW5" s="36"/>
      <c r="AX5" s="48">
        <f t="shared" ref="AX5:AX53" si="24">FR5/C5</f>
        <v>0.1243257721207587</v>
      </c>
      <c r="AY5" s="6">
        <v>8.3000000000000004E-2</v>
      </c>
      <c r="AZ5" s="45">
        <f t="shared" ref="AZ5:AZ53" si="25">(DX5)/ED5</f>
        <v>0.19772243087807745</v>
      </c>
      <c r="BA5" s="45">
        <f t="shared" ref="BA5:BA53" si="26">(DY5)/ED5</f>
        <v>0.20540000000000003</v>
      </c>
      <c r="BB5" s="44">
        <f t="shared" ref="BB5:BB53" si="27">(DZ5)/ED5</f>
        <v>0.22839999999999999</v>
      </c>
      <c r="BC5" s="6"/>
      <c r="BD5" s="48">
        <v>0.19320000000000001</v>
      </c>
      <c r="BE5" s="6">
        <v>0.2039</v>
      </c>
      <c r="BF5" s="41">
        <v>0.2263</v>
      </c>
      <c r="BG5" s="6"/>
      <c r="BH5" s="43"/>
      <c r="BI5" s="44">
        <v>2.5999999999999999E-2</v>
      </c>
      <c r="BJ5" s="48"/>
      <c r="BK5" s="41"/>
      <c r="BL5" s="49"/>
      <c r="BM5" s="6"/>
      <c r="BN5" s="43"/>
      <c r="BO5" s="41">
        <f>BD5-(4.5%+2.5%+3%+2.5%+BI5)</f>
        <v>4.2200000000000015E-2</v>
      </c>
      <c r="BP5" s="6"/>
      <c r="BQ5" s="48"/>
      <c r="BR5" s="41">
        <f>BE5-(6%+2.5%+3%+2.5%+BI5)</f>
        <v>3.7900000000000017E-2</v>
      </c>
      <c r="BS5" s="6"/>
      <c r="BT5" s="48"/>
      <c r="BU5" s="41">
        <f>BF5-(8%+2.5%+3%+2.5%+BI5)</f>
        <v>4.0300000000000002E-2</v>
      </c>
      <c r="BV5" s="36"/>
      <c r="BW5" s="39">
        <f t="shared" ref="BW5:BW53" si="28">Q5/FT5*2</f>
        <v>4.2320524946683972E-4</v>
      </c>
      <c r="BX5" s="6">
        <f t="shared" ref="BX5:BX53" si="29">Q5/(P5+S5+T5)</f>
        <v>1.9723960840956508E-2</v>
      </c>
      <c r="BY5" s="40">
        <f t="shared" ref="BY5:BY52" si="30">FB5/E5</f>
        <v>8.6150874446009034E-3</v>
      </c>
      <c r="BZ5" s="45">
        <f t="shared" ref="BZ5:BZ53" si="31">FB5/(FR5+FF5)</f>
        <v>5.453536830426458E-2</v>
      </c>
      <c r="CA5" s="45">
        <f t="shared" ref="CA5:CA53" si="32">FH5/FJ5</f>
        <v>0.83762036811007512</v>
      </c>
      <c r="CB5" s="44">
        <f t="shared" ref="CB5:CB53" si="33">(CA5*E5+F5)/(E5+F5)</f>
        <v>0.88828634075679447</v>
      </c>
      <c r="CC5" s="36"/>
      <c r="CD5" s="50">
        <v>78.707999999999998</v>
      </c>
      <c r="CE5" s="36">
        <v>164.91800000000001</v>
      </c>
      <c r="CF5" s="51">
        <f t="shared" ref="CF5:CF52" si="34">CD5+CE5</f>
        <v>243.626</v>
      </c>
      <c r="CG5" s="52">
        <f t="shared" ref="CG5:CG52" si="35">E5</f>
        <v>6013.6360000000004</v>
      </c>
      <c r="CH5" s="53">
        <v>6.8460000000000001</v>
      </c>
      <c r="CI5" s="53">
        <v>18.506</v>
      </c>
      <c r="CJ5" s="51">
        <f t="shared" ref="CJ5:CJ52" si="36">CG5-CH5-CI5</f>
        <v>5988.2840000000006</v>
      </c>
      <c r="CK5" s="53">
        <v>727.01</v>
      </c>
      <c r="CL5" s="53">
        <v>401.36599999999999</v>
      </c>
      <c r="CM5" s="37">
        <f t="shared" ref="CM5:CM52" si="37">CK5+CL5</f>
        <v>1128.376</v>
      </c>
      <c r="CN5" s="53">
        <v>0</v>
      </c>
      <c r="CO5" s="53">
        <v>0</v>
      </c>
      <c r="CP5" s="53">
        <v>74.552000000000007</v>
      </c>
      <c r="CQ5" s="53">
        <v>2.3729999999994931</v>
      </c>
      <c r="CR5" s="51">
        <f t="shared" ref="CR5:CR52" si="38">CF5+CJ5+CM5+CN5+CO5+CP5+CQ5</f>
        <v>7437.2110000000002</v>
      </c>
      <c r="CS5" s="36">
        <v>26.908999999999999</v>
      </c>
      <c r="CT5" s="52">
        <v>5280.1890000000003</v>
      </c>
      <c r="CU5" s="37">
        <f t="shared" ref="CU5:CU52" si="39">CS5+CT5</f>
        <v>5307.098</v>
      </c>
      <c r="CV5" s="53">
        <v>1050.2090000000001</v>
      </c>
      <c r="CW5" s="53">
        <v>54.690000000000282</v>
      </c>
      <c r="CX5" s="37">
        <f t="shared" ref="CX5:CX52" si="40">CV5+CW5</f>
        <v>1104.8990000000003</v>
      </c>
      <c r="CY5" s="53">
        <v>100.577</v>
      </c>
      <c r="CZ5" s="53">
        <v>924.63699999999994</v>
      </c>
      <c r="DA5" s="54">
        <f t="shared" ref="DA5:DA52" si="41">CU5+CX5+CY5+CZ5</f>
        <v>7437.2110000000002</v>
      </c>
      <c r="DB5" s="36"/>
      <c r="DC5" s="55">
        <v>970.63599999999997</v>
      </c>
      <c r="DD5" s="36"/>
      <c r="DE5" s="56">
        <v>90</v>
      </c>
      <c r="DF5" s="52">
        <v>325</v>
      </c>
      <c r="DG5" s="52">
        <v>260</v>
      </c>
      <c r="DH5" s="52">
        <v>200</v>
      </c>
      <c r="DI5" s="52">
        <v>295</v>
      </c>
      <c r="DJ5" s="52">
        <v>0</v>
      </c>
      <c r="DK5" s="57">
        <f t="shared" ref="DK5:DK52" si="42">DE5+DF5+DG5+DH5+DI5+DJ5</f>
        <v>1170</v>
      </c>
      <c r="DL5" s="49">
        <f t="shared" ref="DL5:DL52" si="43">DK5/C5</f>
        <v>0.15731703726033858</v>
      </c>
      <c r="DM5" s="49">
        <f t="shared" ref="DM5:DM53" si="44">(DK5+50%*F5)/C5</f>
        <v>0.34067811172763546</v>
      </c>
      <c r="DN5" s="36"/>
      <c r="DO5" s="58" t="s">
        <v>162</v>
      </c>
      <c r="DP5" s="59">
        <v>46</v>
      </c>
      <c r="DQ5" s="59">
        <v>18977</v>
      </c>
      <c r="DR5" s="60">
        <v>5</v>
      </c>
      <c r="DS5" s="59" t="s">
        <v>163</v>
      </c>
      <c r="DT5" s="61" t="s">
        <v>164</v>
      </c>
      <c r="DU5" s="62" t="s">
        <v>165</v>
      </c>
      <c r="DV5" s="63">
        <v>5.2685576269687756E-2</v>
      </c>
      <c r="DW5" s="64"/>
      <c r="DX5" s="56">
        <v>643.83149060000005</v>
      </c>
      <c r="DY5" s="52">
        <v>668.83149060000005</v>
      </c>
      <c r="DZ5" s="57">
        <v>743.72498759999996</v>
      </c>
      <c r="EA5" s="33"/>
      <c r="EB5" s="58">
        <f t="shared" ref="EB5:EB52" si="45">EC5/2+ED5/2</f>
        <v>3267.2669999999998</v>
      </c>
      <c r="EC5" s="52">
        <v>3278.2950000000001</v>
      </c>
      <c r="ED5" s="57">
        <v>3256.239</v>
      </c>
      <c r="EE5" s="33"/>
      <c r="EF5" s="56">
        <v>32.518999999999998</v>
      </c>
      <c r="EG5" s="52">
        <v>20.018000000000001</v>
      </c>
      <c r="EH5" s="52">
        <v>137.02000000000001</v>
      </c>
      <c r="EI5" s="52">
        <v>69.451999999999998</v>
      </c>
      <c r="EJ5" s="52">
        <v>509.10899999999998</v>
      </c>
      <c r="EK5" s="52">
        <v>12.693</v>
      </c>
      <c r="EL5" s="52">
        <v>118.30199999999797</v>
      </c>
      <c r="EM5" s="57">
        <v>5009.4840000000004</v>
      </c>
      <c r="EN5" s="57">
        <f t="shared" ref="EN5:EN52" si="46">EF5+EG5+EH5+EI5+EJ5+EK5+EL5+EM5</f>
        <v>5908.5969999999979</v>
      </c>
      <c r="EO5" s="59"/>
      <c r="EP5" s="43">
        <f t="shared" ref="EP5:EW33" si="47">EF5/$EN5</f>
        <v>5.5036754072074999E-3</v>
      </c>
      <c r="EQ5" s="45">
        <f t="shared" si="47"/>
        <v>3.3879447185177812E-3</v>
      </c>
      <c r="ER5" s="45">
        <f t="shared" si="47"/>
        <v>2.3189938322075453E-2</v>
      </c>
      <c r="ES5" s="45">
        <f t="shared" si="47"/>
        <v>1.175439787144055E-2</v>
      </c>
      <c r="ET5" s="45">
        <f t="shared" si="47"/>
        <v>8.6164109686275803E-2</v>
      </c>
      <c r="EU5" s="45">
        <f t="shared" si="47"/>
        <v>2.1482257124660902E-3</v>
      </c>
      <c r="EV5" s="45">
        <f t="shared" si="47"/>
        <v>2.0022011993709846E-2</v>
      </c>
      <c r="EW5" s="45">
        <f t="shared" si="47"/>
        <v>0.84782969628830707</v>
      </c>
      <c r="EX5" s="49">
        <f t="shared" ref="EX5:EX53" si="48">EP5+EQ5+ER5+ES5+ET5+EU5+EV5+EW5</f>
        <v>1</v>
      </c>
      <c r="EY5" s="59"/>
      <c r="EZ5" s="50">
        <v>34.159999999999997</v>
      </c>
      <c r="FA5" s="53">
        <v>17.648000000000003</v>
      </c>
      <c r="FB5" s="54">
        <f t="shared" ref="FB5:FB52" si="49">EZ5+FA5</f>
        <v>51.808</v>
      </c>
      <c r="FD5" s="50">
        <f t="shared" ref="FD5:FE33" si="50">CH5</f>
        <v>6.8460000000000001</v>
      </c>
      <c r="FE5" s="53">
        <f t="shared" si="50"/>
        <v>18.506</v>
      </c>
      <c r="FF5" s="54">
        <f t="shared" ref="FF5:FF52" si="51">FD5+FE5</f>
        <v>25.352</v>
      </c>
      <c r="FH5" s="56">
        <f t="shared" ref="FH5:FH52" si="52">FL5*E5</f>
        <v>5037.1440000000002</v>
      </c>
      <c r="FI5" s="52">
        <f t="shared" ref="FI5:FI52" si="53">E5*FM5</f>
        <v>976.49200000000042</v>
      </c>
      <c r="FJ5" s="57">
        <f t="shared" ref="FJ5:FJ52" si="54">FH5+FI5</f>
        <v>6013.6360000000004</v>
      </c>
      <c r="FL5" s="43">
        <v>0.83762036811007512</v>
      </c>
      <c r="FM5" s="45">
        <v>0.16237963188992488</v>
      </c>
      <c r="FN5" s="44">
        <f t="shared" ref="FN5:FN53" si="55">FL5+FM5</f>
        <v>1</v>
      </c>
      <c r="FO5" s="59"/>
      <c r="FP5" s="58">
        <f t="shared" ref="FP5:FP52" si="56">FQ5/2+FR5/2</f>
        <v>881.77449999999999</v>
      </c>
      <c r="FQ5" s="52">
        <v>838.91200000000003</v>
      </c>
      <c r="FR5" s="57">
        <f t="shared" ref="FR5:FR52" si="57">CZ5</f>
        <v>924.63699999999994</v>
      </c>
      <c r="FT5" s="65">
        <f t="shared" ref="FT5:FT52" si="58">FU5/2+FV5/2</f>
        <v>5808.0565000000006</v>
      </c>
      <c r="FU5" s="33">
        <v>5602.4769999999999</v>
      </c>
      <c r="FV5" s="57">
        <f t="shared" ref="FV5:FV52" si="59">CG5</f>
        <v>6013.6360000000004</v>
      </c>
      <c r="FX5" s="65">
        <f t="shared" ref="FX5:FX52" si="60">FY5/2+FZ5/2</f>
        <v>2648.5770000000002</v>
      </c>
      <c r="FY5" s="33">
        <v>2569.7640000000001</v>
      </c>
      <c r="FZ5" s="34">
        <f t="shared" ref="FZ5:FZ52" si="61">F5</f>
        <v>2727.39</v>
      </c>
      <c r="GB5" s="65">
        <f t="shared" ref="GB5:GB52" si="62">GC5/2+GD5/2</f>
        <v>8456.6334999999999</v>
      </c>
      <c r="GC5" s="59">
        <f t="shared" ref="GC5:GD33" si="63">FU5+FY5</f>
        <v>8172.241</v>
      </c>
      <c r="GD5" s="60">
        <f t="shared" si="63"/>
        <v>8741.0259999999998</v>
      </c>
      <c r="GF5" s="65">
        <f t="shared" ref="GF5:GF52" si="64">GG5/2+GH5/2</f>
        <v>5266.2240000000002</v>
      </c>
      <c r="GG5" s="33">
        <v>5252.259</v>
      </c>
      <c r="GH5" s="57">
        <f t="shared" ref="GH5:GH52" si="65">G5</f>
        <v>5280.1890000000003</v>
      </c>
      <c r="GI5" s="33"/>
      <c r="GJ5" s="58">
        <f t="shared" ref="GJ5:GJ52" si="66">GK5/2+GL5/2</f>
        <v>7222.0575000000008</v>
      </c>
      <c r="GK5" s="52">
        <v>7006.9040000000005</v>
      </c>
      <c r="GL5" s="57">
        <f t="shared" ref="GL5:GL52" si="67">C5</f>
        <v>7437.2110000000002</v>
      </c>
      <c r="GM5" s="33"/>
      <c r="GN5" s="66">
        <f t="shared" ref="GN5:GN53" si="68">ED5/C5</f>
        <v>0.43783065990732278</v>
      </c>
      <c r="GO5" s="67"/>
    </row>
    <row r="6" spans="2:198" s="1" customFormat="1" x14ac:dyDescent="0.2">
      <c r="B6" s="68" t="s">
        <v>166</v>
      </c>
      <c r="C6" s="32">
        <v>4809.5280000000002</v>
      </c>
      <c r="D6" s="33">
        <v>4696.9250000000002</v>
      </c>
      <c r="E6" s="33">
        <v>3949.962</v>
      </c>
      <c r="F6" s="33">
        <v>1795.1510000000001</v>
      </c>
      <c r="G6" s="33">
        <v>3615.1210000000001</v>
      </c>
      <c r="H6" s="33">
        <v>6604.6790000000001</v>
      </c>
      <c r="I6" s="34">
        <v>5745.1130000000003</v>
      </c>
      <c r="J6" s="33"/>
      <c r="K6" s="35">
        <v>53.578000000000003</v>
      </c>
      <c r="L6" s="36">
        <v>13.260999999999999</v>
      </c>
      <c r="M6" s="36">
        <v>0.18099999999999999</v>
      </c>
      <c r="N6" s="37">
        <f t="shared" si="0"/>
        <v>67.02</v>
      </c>
      <c r="O6" s="36">
        <v>34.235999999999997</v>
      </c>
      <c r="P6" s="37">
        <f t="shared" si="1"/>
        <v>32.783999999999999</v>
      </c>
      <c r="Q6" s="36">
        <v>-3.400000000000003E-2</v>
      </c>
      <c r="R6" s="37">
        <f t="shared" si="2"/>
        <v>32.817999999999998</v>
      </c>
      <c r="S6" s="36">
        <v>6.3680000000000003</v>
      </c>
      <c r="T6" s="36">
        <v>0.60600000000000009</v>
      </c>
      <c r="U6" s="36">
        <v>-6.5</v>
      </c>
      <c r="V6" s="37">
        <f t="shared" si="3"/>
        <v>33.292000000000002</v>
      </c>
      <c r="W6" s="36">
        <v>8.1120000000000001</v>
      </c>
      <c r="X6" s="38">
        <f t="shared" si="4"/>
        <v>25.18</v>
      </c>
      <c r="Y6" s="36"/>
      <c r="Z6" s="39">
        <f t="shared" si="5"/>
        <v>2.2814075166199162E-2</v>
      </c>
      <c r="AA6" s="40">
        <f t="shared" si="6"/>
        <v>5.6466730893084301E-3</v>
      </c>
      <c r="AB6" s="6">
        <f t="shared" si="7"/>
        <v>0.46268616374300625</v>
      </c>
      <c r="AC6" s="6">
        <f t="shared" si="8"/>
        <v>0.46650678585054778</v>
      </c>
      <c r="AD6" s="6">
        <f t="shared" si="9"/>
        <v>0.5108325872873769</v>
      </c>
      <c r="AE6" s="40">
        <f t="shared" si="10"/>
        <v>1.4578048404009005E-2</v>
      </c>
      <c r="AF6" s="40">
        <f t="shared" si="11"/>
        <v>1.0721908482677496E-2</v>
      </c>
      <c r="AG6" s="40">
        <f t="shared" si="12"/>
        <v>2.3527295704142852E-2</v>
      </c>
      <c r="AH6" s="40">
        <f t="shared" si="13"/>
        <v>3.7148459992268131E-2</v>
      </c>
      <c r="AI6" s="40">
        <f t="shared" si="14"/>
        <v>3.0663971025359813E-2</v>
      </c>
      <c r="AJ6" s="41">
        <f t="shared" si="15"/>
        <v>8.7489489447753005E-2</v>
      </c>
      <c r="AK6" s="42"/>
      <c r="AL6" s="48">
        <f t="shared" si="16"/>
        <v>6.6698748952869799E-2</v>
      </c>
      <c r="AM6" s="6">
        <f t="shared" si="17"/>
        <v>7.6828970684212544E-2</v>
      </c>
      <c r="AN6" s="41">
        <f t="shared" si="18"/>
        <v>7.5559145591321999E-2</v>
      </c>
      <c r="AO6" s="36"/>
      <c r="AP6" s="48">
        <f t="shared" si="19"/>
        <v>0.91522931106679006</v>
      </c>
      <c r="AQ6" s="6">
        <f t="shared" si="20"/>
        <v>0.86434556407120633</v>
      </c>
      <c r="AR6" s="6">
        <f t="shared" si="21"/>
        <v>-8.8077249992098757E-3</v>
      </c>
      <c r="AS6" s="6">
        <f t="shared" si="22"/>
        <v>0.29003875224346337</v>
      </c>
      <c r="AT6" s="6">
        <f t="shared" si="23"/>
        <v>0.12677647369970604</v>
      </c>
      <c r="AU6" s="69">
        <v>2.52</v>
      </c>
      <c r="AV6" s="70">
        <v>1.38</v>
      </c>
      <c r="AW6" s="36"/>
      <c r="AX6" s="48">
        <f t="shared" si="24"/>
        <v>0.12436064412141898</v>
      </c>
      <c r="AY6" s="6">
        <v>9.5000000000000001E-2</v>
      </c>
      <c r="AZ6" s="6">
        <f t="shared" si="25"/>
        <v>0.19292577134716651</v>
      </c>
      <c r="BA6" s="6">
        <f t="shared" si="26"/>
        <v>0.20867358781683376</v>
      </c>
      <c r="BB6" s="41">
        <f t="shared" si="27"/>
        <v>0.2216628055690833</v>
      </c>
      <c r="BC6" s="6"/>
      <c r="BD6" s="48">
        <v>0.18390000000000001</v>
      </c>
      <c r="BE6" s="6">
        <v>0.2024</v>
      </c>
      <c r="BF6" s="41">
        <v>0.21790000000000001</v>
      </c>
      <c r="BG6" s="6"/>
      <c r="BH6" s="48"/>
      <c r="BI6" s="41">
        <v>2.1999999999999999E-2</v>
      </c>
      <c r="BJ6" s="48"/>
      <c r="BK6" s="41"/>
      <c r="BL6" s="63"/>
      <c r="BM6" s="6"/>
      <c r="BN6" s="48"/>
      <c r="BO6" s="41">
        <f>BD6-(4.5%+2.5%+3%+2.5%+BI6)</f>
        <v>3.6900000000000016E-2</v>
      </c>
      <c r="BP6" s="6"/>
      <c r="BQ6" s="48"/>
      <c r="BR6" s="41">
        <f>BE6-(6%+2.5%+3%+2.5%+BI6)</f>
        <v>4.0400000000000019E-2</v>
      </c>
      <c r="BS6" s="6"/>
      <c r="BT6" s="48"/>
      <c r="BU6" s="41">
        <f>BF6-(8%+2.5%+3%+2.5%+BI6)</f>
        <v>3.5900000000000015E-2</v>
      </c>
      <c r="BV6" s="36"/>
      <c r="BW6" s="39">
        <f t="shared" si="28"/>
        <v>-1.7770948158485513E-5</v>
      </c>
      <c r="BX6" s="6">
        <f t="shared" si="29"/>
        <v>-8.5517380149907011E-4</v>
      </c>
      <c r="BY6" s="40">
        <f t="shared" si="30"/>
        <v>1.0453771454003861E-2</v>
      </c>
      <c r="BZ6" s="6">
        <f t="shared" si="31"/>
        <v>6.695312373323821E-2</v>
      </c>
      <c r="CA6" s="6">
        <f t="shared" si="32"/>
        <v>0.76909448749127196</v>
      </c>
      <c r="CB6" s="41">
        <f t="shared" si="33"/>
        <v>0.84124454993313447</v>
      </c>
      <c r="CC6" s="36"/>
      <c r="CD6" s="35">
        <v>36.844000000000001</v>
      </c>
      <c r="CE6" s="36">
        <v>102.889</v>
      </c>
      <c r="CF6" s="37">
        <f t="shared" si="34"/>
        <v>139.733</v>
      </c>
      <c r="CG6" s="33">
        <f t="shared" si="35"/>
        <v>3949.962</v>
      </c>
      <c r="CH6" s="36">
        <v>6.6360000000000001</v>
      </c>
      <c r="CI6" s="36">
        <v>11.978000000000002</v>
      </c>
      <c r="CJ6" s="37">
        <f t="shared" si="36"/>
        <v>3931.348</v>
      </c>
      <c r="CK6" s="36">
        <v>469.72199999999998</v>
      </c>
      <c r="CL6" s="36">
        <v>229.45599999999999</v>
      </c>
      <c r="CM6" s="37">
        <f t="shared" si="37"/>
        <v>699.178</v>
      </c>
      <c r="CN6" s="36">
        <v>0</v>
      </c>
      <c r="CO6" s="36">
        <v>0</v>
      </c>
      <c r="CP6" s="36">
        <v>29.347999999999999</v>
      </c>
      <c r="CQ6" s="36">
        <v>9.9210000000001202</v>
      </c>
      <c r="CR6" s="37">
        <f t="shared" si="38"/>
        <v>4809.5280000000002</v>
      </c>
      <c r="CS6" s="36">
        <v>2.1999999999999999E-2</v>
      </c>
      <c r="CT6" s="33">
        <v>3615.1210000000001</v>
      </c>
      <c r="CU6" s="37">
        <f t="shared" si="39"/>
        <v>3615.143</v>
      </c>
      <c r="CV6" s="36">
        <v>497.35199999999998</v>
      </c>
      <c r="CW6" s="36">
        <v>28.917000000000257</v>
      </c>
      <c r="CX6" s="37">
        <f t="shared" si="40"/>
        <v>526.26900000000023</v>
      </c>
      <c r="CY6" s="36">
        <v>70</v>
      </c>
      <c r="CZ6" s="36">
        <v>598.11599999999999</v>
      </c>
      <c r="DA6" s="71">
        <f t="shared" si="41"/>
        <v>4809.5280000000002</v>
      </c>
      <c r="DB6" s="36"/>
      <c r="DC6" s="72">
        <v>609.7349999999999</v>
      </c>
      <c r="DD6" s="36"/>
      <c r="DE6" s="32">
        <v>70</v>
      </c>
      <c r="DF6" s="33">
        <v>150</v>
      </c>
      <c r="DG6" s="33">
        <v>200</v>
      </c>
      <c r="DH6" s="33">
        <v>105</v>
      </c>
      <c r="DI6" s="33">
        <v>40</v>
      </c>
      <c r="DJ6" s="33">
        <v>0</v>
      </c>
      <c r="DK6" s="34">
        <f t="shared" si="42"/>
        <v>565</v>
      </c>
      <c r="DL6" s="63">
        <f t="shared" si="43"/>
        <v>0.11747514517017053</v>
      </c>
      <c r="DM6" s="63">
        <f t="shared" si="44"/>
        <v>0.30409959147758364</v>
      </c>
      <c r="DN6" s="36"/>
      <c r="DO6" s="65" t="s">
        <v>167</v>
      </c>
      <c r="DP6" s="59">
        <v>31</v>
      </c>
      <c r="DQ6" s="59">
        <v>12317</v>
      </c>
      <c r="DR6" s="73">
        <v>2</v>
      </c>
      <c r="DS6" s="74" t="s">
        <v>163</v>
      </c>
      <c r="DT6" s="75" t="s">
        <v>164</v>
      </c>
      <c r="DU6" s="62" t="s">
        <v>165</v>
      </c>
      <c r="DV6" s="63">
        <v>8.4544232992718987E-2</v>
      </c>
      <c r="DW6" s="64"/>
      <c r="DX6" s="32">
        <v>423.88299999999998</v>
      </c>
      <c r="DY6" s="33">
        <v>458.483</v>
      </c>
      <c r="DZ6" s="34">
        <v>487.02199999999999</v>
      </c>
      <c r="EA6" s="33"/>
      <c r="EB6" s="65">
        <f t="shared" si="45"/>
        <v>2140.4925000000003</v>
      </c>
      <c r="EC6" s="33">
        <v>2083.855</v>
      </c>
      <c r="ED6" s="34">
        <v>2197.13</v>
      </c>
      <c r="EE6" s="33"/>
      <c r="EF6" s="32">
        <v>208.68899999999999</v>
      </c>
      <c r="EG6" s="33">
        <v>2.028</v>
      </c>
      <c r="EH6" s="33">
        <v>111.2</v>
      </c>
      <c r="EI6" s="33">
        <v>6.6820000000000004</v>
      </c>
      <c r="EJ6" s="33">
        <v>419.18799999999999</v>
      </c>
      <c r="EK6" s="33">
        <v>11.574</v>
      </c>
      <c r="EL6" s="33">
        <v>81.329000000000633</v>
      </c>
      <c r="EM6" s="34">
        <v>2937.306</v>
      </c>
      <c r="EN6" s="34">
        <f t="shared" si="46"/>
        <v>3777.9960000000005</v>
      </c>
      <c r="EO6" s="59"/>
      <c r="EP6" s="48">
        <f t="shared" si="47"/>
        <v>5.5238015074658621E-2</v>
      </c>
      <c r="EQ6" s="6">
        <f t="shared" si="47"/>
        <v>5.3679252174962595E-4</v>
      </c>
      <c r="ER6" s="6">
        <f t="shared" si="47"/>
        <v>2.9433593894752665E-2</v>
      </c>
      <c r="ES6" s="6">
        <f t="shared" si="47"/>
        <v>1.7686625396109471E-3</v>
      </c>
      <c r="ET6" s="6">
        <f t="shared" si="47"/>
        <v>0.1109551201218847</v>
      </c>
      <c r="EU6" s="6">
        <f t="shared" si="47"/>
        <v>3.0635289185060011E-3</v>
      </c>
      <c r="EV6" s="6">
        <f t="shared" si="47"/>
        <v>2.1527021203834155E-2</v>
      </c>
      <c r="EW6" s="6">
        <f t="shared" si="47"/>
        <v>0.77747726572500331</v>
      </c>
      <c r="EX6" s="63">
        <f t="shared" si="48"/>
        <v>1</v>
      </c>
      <c r="EY6" s="59"/>
      <c r="EZ6" s="35">
        <v>12.831</v>
      </c>
      <c r="FA6" s="36">
        <v>28.460999999999999</v>
      </c>
      <c r="FB6" s="71">
        <f t="shared" si="49"/>
        <v>41.292000000000002</v>
      </c>
      <c r="FD6" s="35">
        <f t="shared" si="50"/>
        <v>6.6360000000000001</v>
      </c>
      <c r="FE6" s="36">
        <f t="shared" si="50"/>
        <v>11.978000000000002</v>
      </c>
      <c r="FF6" s="71">
        <f t="shared" si="51"/>
        <v>18.614000000000001</v>
      </c>
      <c r="FH6" s="32">
        <f t="shared" si="52"/>
        <v>3037.8939999999998</v>
      </c>
      <c r="FI6" s="33">
        <f t="shared" si="53"/>
        <v>912.06800000000044</v>
      </c>
      <c r="FJ6" s="34">
        <f t="shared" si="54"/>
        <v>3949.9620000000004</v>
      </c>
      <c r="FL6" s="48">
        <v>0.76909448749127196</v>
      </c>
      <c r="FM6" s="6">
        <v>0.23090551250872804</v>
      </c>
      <c r="FN6" s="41">
        <f t="shared" si="55"/>
        <v>1</v>
      </c>
      <c r="FO6" s="59"/>
      <c r="FP6" s="65">
        <f t="shared" si="56"/>
        <v>575.61199999999997</v>
      </c>
      <c r="FQ6" s="33">
        <v>553.10799999999995</v>
      </c>
      <c r="FR6" s="34">
        <f t="shared" si="57"/>
        <v>598.11599999999999</v>
      </c>
      <c r="FT6" s="65">
        <f t="shared" si="58"/>
        <v>3826.4700000000003</v>
      </c>
      <c r="FU6" s="33">
        <v>3702.9780000000001</v>
      </c>
      <c r="FV6" s="34">
        <f t="shared" si="59"/>
        <v>3949.962</v>
      </c>
      <c r="FX6" s="65">
        <f t="shared" si="60"/>
        <v>1713.6935000000001</v>
      </c>
      <c r="FY6" s="33">
        <v>1632.2360000000001</v>
      </c>
      <c r="FZ6" s="34">
        <f t="shared" si="61"/>
        <v>1795.1510000000001</v>
      </c>
      <c r="GB6" s="65">
        <f t="shared" si="62"/>
        <v>5540.1635000000006</v>
      </c>
      <c r="GC6" s="59">
        <f t="shared" si="63"/>
        <v>5335.2139999999999</v>
      </c>
      <c r="GD6" s="73">
        <f t="shared" si="63"/>
        <v>5745.1130000000003</v>
      </c>
      <c r="GF6" s="65">
        <f t="shared" si="64"/>
        <v>3488.1379999999999</v>
      </c>
      <c r="GG6" s="33">
        <v>3361.1550000000002</v>
      </c>
      <c r="GH6" s="34">
        <f t="shared" si="65"/>
        <v>3615.1210000000001</v>
      </c>
      <c r="GI6" s="33"/>
      <c r="GJ6" s="65">
        <f t="shared" si="66"/>
        <v>4696.9250000000002</v>
      </c>
      <c r="GK6" s="33">
        <v>4584.3220000000001</v>
      </c>
      <c r="GL6" s="34">
        <f t="shared" si="67"/>
        <v>4809.5280000000002</v>
      </c>
      <c r="GM6" s="33"/>
      <c r="GN6" s="76">
        <f t="shared" si="68"/>
        <v>0.45682861187210055</v>
      </c>
      <c r="GO6" s="67"/>
    </row>
    <row r="7" spans="2:198" s="1" customFormat="1" x14ac:dyDescent="0.2">
      <c r="B7" s="77" t="s">
        <v>169</v>
      </c>
      <c r="C7" s="32">
        <v>16286.376</v>
      </c>
      <c r="D7" s="33">
        <v>15646.2495</v>
      </c>
      <c r="E7" s="33">
        <v>13725.754999999999</v>
      </c>
      <c r="F7" s="33">
        <v>2380.4949999999999</v>
      </c>
      <c r="G7" s="33">
        <v>9995.7430000000004</v>
      </c>
      <c r="H7" s="33">
        <v>18666.870999999999</v>
      </c>
      <c r="I7" s="34">
        <v>16106.25</v>
      </c>
      <c r="J7" s="33"/>
      <c r="K7" s="35">
        <v>168.14800000000002</v>
      </c>
      <c r="L7" s="36">
        <v>28.048000000000002</v>
      </c>
      <c r="M7" s="36">
        <v>5.2000000000000005E-2</v>
      </c>
      <c r="N7" s="37">
        <f t="shared" si="0"/>
        <v>196.24800000000002</v>
      </c>
      <c r="O7" s="36">
        <v>65.451000000000008</v>
      </c>
      <c r="P7" s="37">
        <f t="shared" si="1"/>
        <v>130.79700000000003</v>
      </c>
      <c r="Q7" s="36">
        <v>1.5710000000000002</v>
      </c>
      <c r="R7" s="37">
        <f t="shared" si="2"/>
        <v>129.22600000000003</v>
      </c>
      <c r="S7" s="36">
        <v>18.093</v>
      </c>
      <c r="T7" s="36">
        <v>4.2319999999999993</v>
      </c>
      <c r="U7" s="36">
        <v>-9.9</v>
      </c>
      <c r="V7" s="37">
        <f t="shared" si="3"/>
        <v>141.65100000000001</v>
      </c>
      <c r="W7" s="36">
        <v>32.613999999999997</v>
      </c>
      <c r="X7" s="38">
        <f t="shared" si="4"/>
        <v>109.03700000000001</v>
      </c>
      <c r="Y7" s="36"/>
      <c r="Z7" s="39">
        <f t="shared" si="5"/>
        <v>2.1493713237795427E-2</v>
      </c>
      <c r="AA7" s="40">
        <f t="shared" si="6"/>
        <v>3.5852681500445206E-3</v>
      </c>
      <c r="AB7" s="6">
        <f t="shared" si="7"/>
        <v>0.29944686672187326</v>
      </c>
      <c r="AC7" s="6">
        <f t="shared" si="8"/>
        <v>0.30535921732193094</v>
      </c>
      <c r="AD7" s="6">
        <f t="shared" si="9"/>
        <v>0.33351167909991442</v>
      </c>
      <c r="AE7" s="40">
        <f t="shared" si="10"/>
        <v>8.3663500316801167E-3</v>
      </c>
      <c r="AF7" s="40">
        <f t="shared" si="11"/>
        <v>1.3937781063762278E-2</v>
      </c>
      <c r="AG7" s="40">
        <f t="shared" si="12"/>
        <v>2.725127048736042E-2</v>
      </c>
      <c r="AH7" s="40">
        <f t="shared" si="13"/>
        <v>3.8269294272270903E-2</v>
      </c>
      <c r="AI7" s="40">
        <f t="shared" si="14"/>
        <v>3.2297043022090098E-2</v>
      </c>
      <c r="AJ7" s="41">
        <f t="shared" si="15"/>
        <v>0.12249572814726854</v>
      </c>
      <c r="AK7" s="42"/>
      <c r="AL7" s="48">
        <f t="shared" si="16"/>
        <v>9.5106154030395254E-2</v>
      </c>
      <c r="AM7" s="6">
        <f t="shared" si="17"/>
        <v>8.6912657200384283E-2</v>
      </c>
      <c r="AN7" s="41">
        <f t="shared" si="18"/>
        <v>8.1139695038516396E-2</v>
      </c>
      <c r="AO7" s="36"/>
      <c r="AP7" s="48">
        <f t="shared" si="19"/>
        <v>0.72824722574459477</v>
      </c>
      <c r="AQ7" s="6">
        <f t="shared" si="20"/>
        <v>0.69850535855992946</v>
      </c>
      <c r="AR7" s="6">
        <f t="shared" si="21"/>
        <v>0.15980289292105254</v>
      </c>
      <c r="AS7" s="6">
        <f t="shared" si="22"/>
        <v>0.31690767178652884</v>
      </c>
      <c r="AT7" s="6">
        <f t="shared" si="23"/>
        <v>0.10510840471815211</v>
      </c>
      <c r="AU7" s="69">
        <v>1.4635</v>
      </c>
      <c r="AV7" s="70">
        <v>1.31</v>
      </c>
      <c r="AW7" s="36"/>
      <c r="AX7" s="48">
        <f t="shared" si="24"/>
        <v>0.11602237354706781</v>
      </c>
      <c r="AY7" s="6">
        <v>9.7199999999999995E-2</v>
      </c>
      <c r="AZ7" s="6">
        <f t="shared" si="25"/>
        <v>0.17965347147170957</v>
      </c>
      <c r="BA7" s="6">
        <f t="shared" si="26"/>
        <v>0.19163106427020585</v>
      </c>
      <c r="BB7" s="41">
        <f t="shared" si="27"/>
        <v>0.2202031327873068</v>
      </c>
      <c r="BC7" s="6"/>
      <c r="BD7" s="48">
        <v>0.18</v>
      </c>
      <c r="BE7" s="6">
        <v>0.193</v>
      </c>
      <c r="BF7" s="41">
        <v>0.221</v>
      </c>
      <c r="BG7" s="6"/>
      <c r="BH7" s="48"/>
      <c r="BI7" s="41">
        <v>2.7E-2</v>
      </c>
      <c r="BJ7" s="48"/>
      <c r="BK7" s="41"/>
      <c r="BL7" s="63"/>
      <c r="BM7" s="6"/>
      <c r="BN7" s="48"/>
      <c r="BO7" s="41">
        <f>BD7-(4.5%+2.5%+3%+2.5%+BI7)</f>
        <v>2.7999999999999997E-2</v>
      </c>
      <c r="BP7" s="6"/>
      <c r="BQ7" s="48"/>
      <c r="BR7" s="41">
        <f>BE7-(6%+2.5%+3%+2.5%+BI7)</f>
        <v>2.6000000000000023E-2</v>
      </c>
      <c r="BS7" s="6"/>
      <c r="BT7" s="48"/>
      <c r="BU7" s="41">
        <f>BF7-(8%+2.5%+3%+2.5%+BI7)</f>
        <v>3.4000000000000002E-2</v>
      </c>
      <c r="BV7" s="36"/>
      <c r="BW7" s="39">
        <f t="shared" si="28"/>
        <v>2.3930408969318357E-4</v>
      </c>
      <c r="BX7" s="6">
        <f t="shared" si="29"/>
        <v>1.0259792844921043E-2</v>
      </c>
      <c r="BY7" s="40">
        <f t="shared" si="30"/>
        <v>1.5943749542374902E-3</v>
      </c>
      <c r="BZ7" s="6">
        <f t="shared" si="31"/>
        <v>1.1357550040896313E-2</v>
      </c>
      <c r="CA7" s="6">
        <f t="shared" si="32"/>
        <v>0.67877730587497742</v>
      </c>
      <c r="CB7" s="41">
        <f t="shared" si="33"/>
        <v>0.72625384555684902</v>
      </c>
      <c r="CC7" s="36"/>
      <c r="CD7" s="35">
        <v>78.665999999999997</v>
      </c>
      <c r="CE7" s="36">
        <v>513.07899999999995</v>
      </c>
      <c r="CF7" s="37">
        <f t="shared" si="34"/>
        <v>591.74499999999989</v>
      </c>
      <c r="CG7" s="33">
        <f t="shared" si="35"/>
        <v>13725.754999999999</v>
      </c>
      <c r="CH7" s="36">
        <v>6.3120000000000003</v>
      </c>
      <c r="CI7" s="36">
        <v>30.928000000000001</v>
      </c>
      <c r="CJ7" s="37">
        <f t="shared" si="36"/>
        <v>13688.514999999999</v>
      </c>
      <c r="CK7" s="36">
        <v>1107.6969999999999</v>
      </c>
      <c r="CL7" s="36">
        <v>818.30200000000002</v>
      </c>
      <c r="CM7" s="37">
        <f t="shared" si="37"/>
        <v>1925.9989999999998</v>
      </c>
      <c r="CN7" s="36">
        <v>21.998999999999999</v>
      </c>
      <c r="CO7" s="36">
        <v>0</v>
      </c>
      <c r="CP7" s="36">
        <v>45.341000000000001</v>
      </c>
      <c r="CQ7" s="36">
        <v>12.777000000002012</v>
      </c>
      <c r="CR7" s="37">
        <f t="shared" si="38"/>
        <v>16286.376</v>
      </c>
      <c r="CS7" s="36">
        <v>27.667999999999999</v>
      </c>
      <c r="CT7" s="33">
        <v>9995.7430000000004</v>
      </c>
      <c r="CU7" s="37">
        <f t="shared" si="39"/>
        <v>10023.411</v>
      </c>
      <c r="CV7" s="36">
        <v>3943.3620000000001</v>
      </c>
      <c r="CW7" s="36">
        <v>86.604000000000042</v>
      </c>
      <c r="CX7" s="37">
        <f t="shared" si="40"/>
        <v>4029.9660000000003</v>
      </c>
      <c r="CY7" s="36">
        <v>343.41499999999996</v>
      </c>
      <c r="CZ7" s="36">
        <v>1889.5840000000001</v>
      </c>
      <c r="DA7" s="71">
        <f t="shared" si="41"/>
        <v>16286.376000000002</v>
      </c>
      <c r="DB7" s="36"/>
      <c r="DC7" s="72">
        <v>1711.8349999999996</v>
      </c>
      <c r="DD7" s="36"/>
      <c r="DE7" s="32">
        <v>865</v>
      </c>
      <c r="DF7" s="33">
        <v>800</v>
      </c>
      <c r="DG7" s="33">
        <v>1250</v>
      </c>
      <c r="DH7" s="33">
        <v>775</v>
      </c>
      <c r="DI7" s="33">
        <v>450</v>
      </c>
      <c r="DJ7" s="33">
        <v>125</v>
      </c>
      <c r="DK7" s="34">
        <f t="shared" si="42"/>
        <v>4265</v>
      </c>
      <c r="DL7" s="63">
        <f t="shared" si="43"/>
        <v>0.26187532450435874</v>
      </c>
      <c r="DM7" s="63">
        <f t="shared" si="44"/>
        <v>0.33495772785793471</v>
      </c>
      <c r="DN7" s="36"/>
      <c r="DO7" s="65" t="s">
        <v>162</v>
      </c>
      <c r="DP7" s="59">
        <v>61.7</v>
      </c>
      <c r="DQ7" s="59">
        <v>23304</v>
      </c>
      <c r="DR7" s="73">
        <v>5</v>
      </c>
      <c r="DS7" s="59" t="s">
        <v>163</v>
      </c>
      <c r="DT7" s="75" t="s">
        <v>164</v>
      </c>
      <c r="DU7" s="62" t="s">
        <v>170</v>
      </c>
      <c r="DV7" s="63">
        <v>0.41099164802666616</v>
      </c>
      <c r="DW7" s="64"/>
      <c r="DX7" s="32">
        <v>1499.913</v>
      </c>
      <c r="DY7" s="33">
        <v>1599.913</v>
      </c>
      <c r="DZ7" s="34">
        <v>1838.4590000000001</v>
      </c>
      <c r="EA7" s="33"/>
      <c r="EB7" s="65">
        <f t="shared" si="45"/>
        <v>8002.3425000000007</v>
      </c>
      <c r="EC7" s="33">
        <v>7655.7619999999997</v>
      </c>
      <c r="ED7" s="34">
        <v>8348.9230000000007</v>
      </c>
      <c r="EE7" s="33"/>
      <c r="EF7" s="32">
        <v>76.965000000000003</v>
      </c>
      <c r="EG7" s="33">
        <v>11.542999999999999</v>
      </c>
      <c r="EH7" s="33">
        <v>1105.3399999999999</v>
      </c>
      <c r="EI7" s="33">
        <v>204.54400000000001</v>
      </c>
      <c r="EJ7" s="33">
        <v>2468.0639999999999</v>
      </c>
      <c r="EK7" s="33">
        <v>20.641999999999999</v>
      </c>
      <c r="EL7" s="33">
        <v>535.371000000001</v>
      </c>
      <c r="EM7" s="34">
        <v>8669.0049999999992</v>
      </c>
      <c r="EN7" s="34">
        <f t="shared" si="46"/>
        <v>13091.474</v>
      </c>
      <c r="EO7" s="59"/>
      <c r="EP7" s="48">
        <f t="shared" si="47"/>
        <v>5.8790171374132512E-3</v>
      </c>
      <c r="EQ7" s="6">
        <f t="shared" si="47"/>
        <v>8.8171889582487042E-4</v>
      </c>
      <c r="ER7" s="6">
        <f t="shared" si="47"/>
        <v>8.443205096691174E-2</v>
      </c>
      <c r="ES7" s="6">
        <f t="shared" si="47"/>
        <v>1.5624214660625687E-2</v>
      </c>
      <c r="ET7" s="6">
        <f t="shared" si="47"/>
        <v>0.1885245313094614</v>
      </c>
      <c r="EU7" s="6">
        <f t="shared" si="47"/>
        <v>1.5767514032415295E-3</v>
      </c>
      <c r="EV7" s="6">
        <f t="shared" si="47"/>
        <v>4.089463111640454E-2</v>
      </c>
      <c r="EW7" s="6">
        <f t="shared" si="47"/>
        <v>0.66218708451011699</v>
      </c>
      <c r="EX7" s="63">
        <f t="shared" si="48"/>
        <v>1</v>
      </c>
      <c r="EY7" s="59"/>
      <c r="EZ7" s="35">
        <v>2.88</v>
      </c>
      <c r="FA7" s="36">
        <v>19.004000000000001</v>
      </c>
      <c r="FB7" s="71">
        <f t="shared" si="49"/>
        <v>21.884</v>
      </c>
      <c r="FD7" s="35">
        <f t="shared" si="50"/>
        <v>6.3120000000000003</v>
      </c>
      <c r="FE7" s="36">
        <f t="shared" si="50"/>
        <v>30.928000000000001</v>
      </c>
      <c r="FF7" s="71">
        <f t="shared" si="51"/>
        <v>37.24</v>
      </c>
      <c r="FH7" s="32">
        <f t="shared" si="52"/>
        <v>9316.7309999999998</v>
      </c>
      <c r="FI7" s="33">
        <f t="shared" si="53"/>
        <v>4409.0239999999994</v>
      </c>
      <c r="FJ7" s="34">
        <f t="shared" si="54"/>
        <v>13725.754999999999</v>
      </c>
      <c r="FL7" s="48">
        <v>0.67877730587497742</v>
      </c>
      <c r="FM7" s="6">
        <v>0.32122269412502258</v>
      </c>
      <c r="FN7" s="41">
        <f t="shared" si="55"/>
        <v>1</v>
      </c>
      <c r="FO7" s="59"/>
      <c r="FP7" s="65">
        <f t="shared" si="56"/>
        <v>1780.258</v>
      </c>
      <c r="FQ7" s="33">
        <v>1670.932</v>
      </c>
      <c r="FR7" s="34">
        <f t="shared" si="57"/>
        <v>1889.5840000000001</v>
      </c>
      <c r="FT7" s="65">
        <f t="shared" si="58"/>
        <v>13129.737999999999</v>
      </c>
      <c r="FU7" s="33">
        <v>12533.721</v>
      </c>
      <c r="FV7" s="34">
        <f t="shared" si="59"/>
        <v>13725.754999999999</v>
      </c>
      <c r="FX7" s="65">
        <f t="shared" si="60"/>
        <v>2332.5609999999997</v>
      </c>
      <c r="FY7" s="33">
        <v>2284.627</v>
      </c>
      <c r="FZ7" s="34">
        <f t="shared" si="61"/>
        <v>2380.4949999999999</v>
      </c>
      <c r="GB7" s="65">
        <f t="shared" si="62"/>
        <v>15462.298999999999</v>
      </c>
      <c r="GC7" s="59">
        <f t="shared" si="63"/>
        <v>14818.348</v>
      </c>
      <c r="GD7" s="73">
        <f t="shared" si="63"/>
        <v>16106.25</v>
      </c>
      <c r="GF7" s="65">
        <f t="shared" si="64"/>
        <v>9620.652</v>
      </c>
      <c r="GG7" s="33">
        <v>9245.5609999999997</v>
      </c>
      <c r="GH7" s="34">
        <f t="shared" si="65"/>
        <v>9995.7430000000004</v>
      </c>
      <c r="GI7" s="33"/>
      <c r="GJ7" s="65">
        <f t="shared" si="66"/>
        <v>15646.2495</v>
      </c>
      <c r="GK7" s="33">
        <v>15006.123</v>
      </c>
      <c r="GL7" s="34">
        <f t="shared" si="67"/>
        <v>16286.376</v>
      </c>
      <c r="GM7" s="33"/>
      <c r="GN7" s="76">
        <f t="shared" si="68"/>
        <v>0.5126323376053703</v>
      </c>
      <c r="GO7" s="67"/>
    </row>
    <row r="8" spans="2:198" s="1" customFormat="1" x14ac:dyDescent="0.2">
      <c r="B8" s="77" t="s">
        <v>171</v>
      </c>
      <c r="C8" s="32">
        <v>4109.4489999999996</v>
      </c>
      <c r="D8" s="33">
        <v>4059.1054999999997</v>
      </c>
      <c r="E8" s="33">
        <v>3241.8850000000002</v>
      </c>
      <c r="F8" s="33">
        <v>1468.875</v>
      </c>
      <c r="G8" s="33">
        <v>3088.5039999999999</v>
      </c>
      <c r="H8" s="33">
        <v>5578.3239999999996</v>
      </c>
      <c r="I8" s="34">
        <v>4710.76</v>
      </c>
      <c r="J8" s="33"/>
      <c r="K8" s="35">
        <v>52.597000000000001</v>
      </c>
      <c r="L8" s="36">
        <v>14.289</v>
      </c>
      <c r="M8" s="36">
        <v>0</v>
      </c>
      <c r="N8" s="37">
        <f t="shared" si="0"/>
        <v>66.885999999999996</v>
      </c>
      <c r="O8" s="36">
        <v>30.686</v>
      </c>
      <c r="P8" s="37">
        <f t="shared" si="1"/>
        <v>36.199999999999996</v>
      </c>
      <c r="Q8" s="36">
        <v>1.0489999999999999</v>
      </c>
      <c r="R8" s="37">
        <f t="shared" si="2"/>
        <v>35.150999999999996</v>
      </c>
      <c r="S8" s="36">
        <v>11.138999999999999</v>
      </c>
      <c r="T8" s="36">
        <v>2.387</v>
      </c>
      <c r="U8" s="36">
        <v>-2.1909999999999998</v>
      </c>
      <c r="V8" s="37">
        <f t="shared" si="3"/>
        <v>46.48599999999999</v>
      </c>
      <c r="W8" s="36">
        <v>7.3</v>
      </c>
      <c r="X8" s="38">
        <f t="shared" si="4"/>
        <v>39.185999999999993</v>
      </c>
      <c r="Y8" s="36"/>
      <c r="Z8" s="39">
        <f t="shared" si="5"/>
        <v>2.5915561938461569E-2</v>
      </c>
      <c r="AA8" s="40">
        <f t="shared" si="6"/>
        <v>7.0404674133254241E-3</v>
      </c>
      <c r="AB8" s="6">
        <f t="shared" si="7"/>
        <v>0.38160970999353333</v>
      </c>
      <c r="AC8" s="6">
        <f t="shared" si="8"/>
        <v>0.3932842037808395</v>
      </c>
      <c r="AD8" s="6">
        <f t="shared" si="9"/>
        <v>0.45878061178722007</v>
      </c>
      <c r="AE8" s="40">
        <f t="shared" si="10"/>
        <v>1.5119587308090416E-2</v>
      </c>
      <c r="AF8" s="40">
        <f t="shared" si="11"/>
        <v>1.9307702152604803E-2</v>
      </c>
      <c r="AG8" s="40">
        <f t="shared" si="12"/>
        <v>4.005521826393655E-2</v>
      </c>
      <c r="AH8" s="40">
        <f t="shared" si="13"/>
        <v>5.0829015040894938E-2</v>
      </c>
      <c r="AI8" s="40">
        <f t="shared" si="14"/>
        <v>3.593071446934195E-2</v>
      </c>
      <c r="AJ8" s="41">
        <f t="shared" si="15"/>
        <v>0.11605405549484231</v>
      </c>
      <c r="AK8" s="42"/>
      <c r="AL8" s="48">
        <f t="shared" si="16"/>
        <v>3.9559829239346908E-2</v>
      </c>
      <c r="AM8" s="6">
        <f t="shared" si="17"/>
        <v>6.9126607743313195E-2</v>
      </c>
      <c r="AN8" s="41">
        <f t="shared" si="18"/>
        <v>2.9889945139299219E-2</v>
      </c>
      <c r="AO8" s="36"/>
      <c r="AP8" s="48">
        <f t="shared" si="19"/>
        <v>0.95268771100763894</v>
      </c>
      <c r="AQ8" s="6">
        <f t="shared" si="20"/>
        <v>0.92609926355938299</v>
      </c>
      <c r="AR8" s="6">
        <f t="shared" si="21"/>
        <v>-6.6571211858329413E-2</v>
      </c>
      <c r="AS8" s="6">
        <f t="shared" si="22"/>
        <v>0.23869221883517719</v>
      </c>
      <c r="AT8" s="6">
        <f t="shared" si="23"/>
        <v>0.12654421553838482</v>
      </c>
      <c r="AU8" s="69">
        <v>4.0199999999999996</v>
      </c>
      <c r="AV8" s="70">
        <v>1.32</v>
      </c>
      <c r="AW8" s="36"/>
      <c r="AX8" s="48">
        <f t="shared" si="24"/>
        <v>0.17331277258824726</v>
      </c>
      <c r="AY8" s="6">
        <v>0.12089999999999999</v>
      </c>
      <c r="AZ8" s="6">
        <f t="shared" si="25"/>
        <v>0.2447</v>
      </c>
      <c r="BA8" s="6">
        <f t="shared" si="26"/>
        <v>0.2447</v>
      </c>
      <c r="BB8" s="41">
        <f t="shared" si="27"/>
        <v>0.2447</v>
      </c>
      <c r="BC8" s="6"/>
      <c r="BD8" s="48">
        <v>0.23870000000000002</v>
      </c>
      <c r="BE8" s="6">
        <v>0.24350000000000002</v>
      </c>
      <c r="BF8" s="41">
        <v>0.24859999999999999</v>
      </c>
      <c r="BG8" s="6"/>
      <c r="BH8" s="48"/>
      <c r="BI8" s="41"/>
      <c r="BJ8" s="48"/>
      <c r="BK8" s="41"/>
      <c r="BL8" s="63"/>
      <c r="BM8" s="6"/>
      <c r="BN8" s="48"/>
      <c r="BO8" s="41"/>
      <c r="BP8" s="6"/>
      <c r="BQ8" s="48"/>
      <c r="BR8" s="41"/>
      <c r="BS8" s="6"/>
      <c r="BT8" s="48"/>
      <c r="BU8" s="41"/>
      <c r="BV8" s="36"/>
      <c r="BW8" s="39">
        <f t="shared" si="28"/>
        <v>6.5970672922875001E-4</v>
      </c>
      <c r="BX8" s="6">
        <f t="shared" si="29"/>
        <v>2.1095603909423642E-2</v>
      </c>
      <c r="BY8" s="40">
        <f t="shared" si="30"/>
        <v>6.9647751231151009E-3</v>
      </c>
      <c r="BZ8" s="6">
        <f t="shared" si="31"/>
        <v>3.1047735601284317E-2</v>
      </c>
      <c r="CA8" s="6">
        <f t="shared" si="32"/>
        <v>0.81281075670481839</v>
      </c>
      <c r="CB8" s="41">
        <f t="shared" si="33"/>
        <v>0.87117874822746233</v>
      </c>
      <c r="CC8" s="36"/>
      <c r="CD8" s="35">
        <v>75.210999999999999</v>
      </c>
      <c r="CE8" s="36">
        <v>138.994</v>
      </c>
      <c r="CF8" s="37">
        <f t="shared" si="34"/>
        <v>214.20499999999998</v>
      </c>
      <c r="CG8" s="33">
        <f t="shared" si="35"/>
        <v>3241.8850000000002</v>
      </c>
      <c r="CH8" s="36">
        <v>1.72</v>
      </c>
      <c r="CI8" s="36">
        <v>13.295</v>
      </c>
      <c r="CJ8" s="37">
        <f t="shared" si="36"/>
        <v>3226.8700000000003</v>
      </c>
      <c r="CK8" s="36">
        <v>296.33499999999998</v>
      </c>
      <c r="CL8" s="36">
        <v>299.185</v>
      </c>
      <c r="CM8" s="37">
        <f t="shared" si="37"/>
        <v>595.52</v>
      </c>
      <c r="CN8" s="36">
        <v>23.864000000000001</v>
      </c>
      <c r="CO8" s="36">
        <v>0</v>
      </c>
      <c r="CP8" s="36">
        <v>25.344000000000001</v>
      </c>
      <c r="CQ8" s="36">
        <v>23.645999999999354</v>
      </c>
      <c r="CR8" s="37">
        <f t="shared" si="38"/>
        <v>4109.4489999999996</v>
      </c>
      <c r="CS8" s="36">
        <v>3.0000000000000001E-3</v>
      </c>
      <c r="CT8" s="33">
        <v>3088.5039999999999</v>
      </c>
      <c r="CU8" s="37">
        <f t="shared" si="39"/>
        <v>3088.5070000000001</v>
      </c>
      <c r="CV8" s="36">
        <v>246.453</v>
      </c>
      <c r="CW8" s="36">
        <v>62.268999999999551</v>
      </c>
      <c r="CX8" s="37">
        <f t="shared" si="40"/>
        <v>308.72199999999953</v>
      </c>
      <c r="CY8" s="36">
        <v>0</v>
      </c>
      <c r="CZ8" s="36">
        <v>712.22</v>
      </c>
      <c r="DA8" s="71">
        <f t="shared" si="41"/>
        <v>4109.4489999999996</v>
      </c>
      <c r="DB8" s="36"/>
      <c r="DC8" s="72">
        <v>520.02699999999993</v>
      </c>
      <c r="DD8" s="36"/>
      <c r="DE8" s="32">
        <v>70</v>
      </c>
      <c r="DF8" s="33">
        <v>125</v>
      </c>
      <c r="DG8" s="33">
        <v>50</v>
      </c>
      <c r="DH8" s="33">
        <v>0</v>
      </c>
      <c r="DI8" s="33">
        <v>0</v>
      </c>
      <c r="DJ8" s="33">
        <v>0</v>
      </c>
      <c r="DK8" s="34">
        <f t="shared" si="42"/>
        <v>245</v>
      </c>
      <c r="DL8" s="63">
        <f t="shared" si="43"/>
        <v>5.9618698273174828E-2</v>
      </c>
      <c r="DM8" s="63">
        <f t="shared" si="44"/>
        <v>0.2383379134282966</v>
      </c>
      <c r="DN8" s="36"/>
      <c r="DO8" s="65" t="s">
        <v>162</v>
      </c>
      <c r="DP8" s="59">
        <v>27</v>
      </c>
      <c r="DQ8" s="59">
        <v>11810</v>
      </c>
      <c r="DR8" s="73">
        <v>2</v>
      </c>
      <c r="DS8" s="59" t="s">
        <v>163</v>
      </c>
      <c r="DT8" s="65"/>
      <c r="DU8" s="59"/>
      <c r="DV8" s="63" t="s">
        <v>172</v>
      </c>
      <c r="DW8" s="64"/>
      <c r="DX8" s="32">
        <v>490.25987579999997</v>
      </c>
      <c r="DY8" s="33">
        <v>490.25987579999997</v>
      </c>
      <c r="DZ8" s="34">
        <v>490.25987579999997</v>
      </c>
      <c r="EA8" s="33"/>
      <c r="EB8" s="65">
        <f t="shared" si="45"/>
        <v>1956.5989999999999</v>
      </c>
      <c r="EC8" s="33">
        <v>1909.684</v>
      </c>
      <c r="ED8" s="34">
        <v>2003.5139999999999</v>
      </c>
      <c r="EE8" s="33"/>
      <c r="EF8" s="32">
        <v>119.855</v>
      </c>
      <c r="EG8" s="33">
        <v>23.268000000000001</v>
      </c>
      <c r="EH8" s="33">
        <v>97.608999999999995</v>
      </c>
      <c r="EI8" s="33">
        <v>20.664999999999999</v>
      </c>
      <c r="EJ8" s="33">
        <v>197.29400000000001</v>
      </c>
      <c r="EK8" s="33">
        <v>10.472</v>
      </c>
      <c r="EL8" s="33">
        <v>99.239999999999782</v>
      </c>
      <c r="EM8" s="34">
        <v>2620.4940000000001</v>
      </c>
      <c r="EN8" s="34">
        <f t="shared" si="46"/>
        <v>3188.8969999999999</v>
      </c>
      <c r="EO8" s="59"/>
      <c r="EP8" s="48">
        <f t="shared" si="47"/>
        <v>3.7585096037909035E-2</v>
      </c>
      <c r="EQ8" s="6">
        <f t="shared" si="47"/>
        <v>7.2965668066419208E-3</v>
      </c>
      <c r="ER8" s="6">
        <f t="shared" si="47"/>
        <v>3.0609016220969194E-2</v>
      </c>
      <c r="ES8" s="6">
        <f t="shared" si="47"/>
        <v>6.4802971058645041E-3</v>
      </c>
      <c r="ET8" s="6">
        <f t="shared" si="47"/>
        <v>6.1869041239024029E-2</v>
      </c>
      <c r="EU8" s="6">
        <f t="shared" si="47"/>
        <v>3.2838940862624285E-3</v>
      </c>
      <c r="EV8" s="6">
        <f t="shared" si="47"/>
        <v>3.1120478334671763E-2</v>
      </c>
      <c r="EW8" s="6">
        <f t="shared" si="47"/>
        <v>0.82175561016865717</v>
      </c>
      <c r="EX8" s="63">
        <f t="shared" si="48"/>
        <v>1</v>
      </c>
      <c r="EY8" s="59"/>
      <c r="EZ8" s="35">
        <v>8.2159999999999993</v>
      </c>
      <c r="FA8" s="36">
        <v>14.363000000000001</v>
      </c>
      <c r="FB8" s="71">
        <f t="shared" si="49"/>
        <v>22.579000000000001</v>
      </c>
      <c r="FD8" s="35">
        <f t="shared" si="50"/>
        <v>1.72</v>
      </c>
      <c r="FE8" s="36">
        <f t="shared" si="50"/>
        <v>13.295</v>
      </c>
      <c r="FF8" s="71">
        <f t="shared" si="51"/>
        <v>15.015000000000001</v>
      </c>
      <c r="FH8" s="32">
        <f t="shared" si="52"/>
        <v>2635.0390000000002</v>
      </c>
      <c r="FI8" s="33">
        <f t="shared" si="53"/>
        <v>606.84599999999989</v>
      </c>
      <c r="FJ8" s="34">
        <f t="shared" si="54"/>
        <v>3241.8850000000002</v>
      </c>
      <c r="FL8" s="48">
        <v>0.81281075670481839</v>
      </c>
      <c r="FM8" s="6">
        <v>0.18718924329518161</v>
      </c>
      <c r="FN8" s="41">
        <f t="shared" si="55"/>
        <v>1</v>
      </c>
      <c r="FO8" s="59"/>
      <c r="FP8" s="65">
        <f t="shared" si="56"/>
        <v>675.30600000000004</v>
      </c>
      <c r="FQ8" s="33">
        <v>638.39200000000005</v>
      </c>
      <c r="FR8" s="34">
        <f t="shared" si="57"/>
        <v>712.22</v>
      </c>
      <c r="FT8" s="65">
        <f t="shared" si="58"/>
        <v>3180.201</v>
      </c>
      <c r="FU8" s="33">
        <v>3118.5169999999998</v>
      </c>
      <c r="FV8" s="34">
        <f t="shared" si="59"/>
        <v>3241.8850000000002</v>
      </c>
      <c r="FX8" s="65">
        <f t="shared" si="60"/>
        <v>1378.2670000000001</v>
      </c>
      <c r="FY8" s="33">
        <v>1287.6590000000001</v>
      </c>
      <c r="FZ8" s="34">
        <f t="shared" si="61"/>
        <v>1468.875</v>
      </c>
      <c r="GB8" s="65">
        <f t="shared" si="62"/>
        <v>4558.4679999999998</v>
      </c>
      <c r="GC8" s="59">
        <f t="shared" si="63"/>
        <v>4406.1759999999995</v>
      </c>
      <c r="GD8" s="73">
        <f t="shared" si="63"/>
        <v>4710.76</v>
      </c>
      <c r="GF8" s="65">
        <f t="shared" si="64"/>
        <v>3043.6859999999997</v>
      </c>
      <c r="GG8" s="33">
        <v>2998.8679999999999</v>
      </c>
      <c r="GH8" s="34">
        <f t="shared" si="65"/>
        <v>3088.5039999999999</v>
      </c>
      <c r="GI8" s="33"/>
      <c r="GJ8" s="65">
        <f t="shared" si="66"/>
        <v>4059.1054999999997</v>
      </c>
      <c r="GK8" s="33">
        <v>4008.7620000000002</v>
      </c>
      <c r="GL8" s="34">
        <f t="shared" si="67"/>
        <v>4109.4489999999996</v>
      </c>
      <c r="GM8" s="33"/>
      <c r="GN8" s="76">
        <f t="shared" si="68"/>
        <v>0.48753835368196563</v>
      </c>
      <c r="GO8" s="67"/>
    </row>
    <row r="9" spans="2:198" s="1" customFormat="1" x14ac:dyDescent="0.2">
      <c r="B9" s="77" t="s">
        <v>173</v>
      </c>
      <c r="C9" s="32">
        <v>5131.9740000000002</v>
      </c>
      <c r="D9" s="33">
        <v>5055.6100000000006</v>
      </c>
      <c r="E9" s="33">
        <v>4001.3310000000001</v>
      </c>
      <c r="F9" s="33">
        <v>1332.58</v>
      </c>
      <c r="G9" s="33">
        <v>3342.0050000000001</v>
      </c>
      <c r="H9" s="33">
        <v>6464.5540000000001</v>
      </c>
      <c r="I9" s="34">
        <v>5333.9110000000001</v>
      </c>
      <c r="J9" s="33"/>
      <c r="K9" s="35">
        <v>57.516999999999996</v>
      </c>
      <c r="L9" s="36">
        <v>7.7189999999999994</v>
      </c>
      <c r="M9" s="36">
        <v>0</v>
      </c>
      <c r="N9" s="37">
        <f t="shared" si="0"/>
        <v>65.23599999999999</v>
      </c>
      <c r="O9" s="36">
        <v>33.548000000000002</v>
      </c>
      <c r="P9" s="37">
        <f t="shared" si="1"/>
        <v>31.687999999999988</v>
      </c>
      <c r="Q9" s="36">
        <v>-3.0010000000000003</v>
      </c>
      <c r="R9" s="37">
        <f t="shared" si="2"/>
        <v>34.688999999999986</v>
      </c>
      <c r="S9" s="36">
        <v>6.4489999999999998</v>
      </c>
      <c r="T9" s="36">
        <v>1.1859999999999999</v>
      </c>
      <c r="U9" s="36">
        <v>-0.6</v>
      </c>
      <c r="V9" s="37">
        <f t="shared" si="3"/>
        <v>41.723999999999982</v>
      </c>
      <c r="W9" s="36">
        <v>9.125</v>
      </c>
      <c r="X9" s="38">
        <f t="shared" si="4"/>
        <v>32.598999999999982</v>
      </c>
      <c r="Y9" s="36"/>
      <c r="Z9" s="39">
        <f t="shared" si="5"/>
        <v>2.2753732981776676E-2</v>
      </c>
      <c r="AA9" s="40">
        <f t="shared" si="6"/>
        <v>3.0536374443440053E-3</v>
      </c>
      <c r="AB9" s="6">
        <f t="shared" si="7"/>
        <v>0.46037518354352225</v>
      </c>
      <c r="AC9" s="6">
        <f t="shared" si="8"/>
        <v>0.4679919090465231</v>
      </c>
      <c r="AD9" s="6">
        <f t="shared" si="9"/>
        <v>0.51425593230731503</v>
      </c>
      <c r="AE9" s="40">
        <f t="shared" si="10"/>
        <v>1.3271593338884922E-2</v>
      </c>
      <c r="AF9" s="40">
        <f t="shared" si="11"/>
        <v>1.2896168810489725E-2</v>
      </c>
      <c r="AG9" s="40">
        <f t="shared" si="12"/>
        <v>3.0116622344909631E-2</v>
      </c>
      <c r="AH9" s="40">
        <f t="shared" si="13"/>
        <v>3.6328597210616327E-2</v>
      </c>
      <c r="AI9" s="40">
        <f t="shared" si="14"/>
        <v>3.2047471165452021E-2</v>
      </c>
      <c r="AJ9" s="41">
        <f t="shared" si="15"/>
        <v>0.11375699225661008</v>
      </c>
      <c r="AK9" s="42"/>
      <c r="AL9" s="48">
        <f t="shared" si="16"/>
        <v>8.3013815200780786E-2</v>
      </c>
      <c r="AM9" s="6">
        <f t="shared" si="17"/>
        <v>1.8665338980202281E-2</v>
      </c>
      <c r="AN9" s="41">
        <f t="shared" si="18"/>
        <v>-2.5266614848183055E-2</v>
      </c>
      <c r="AO9" s="36"/>
      <c r="AP9" s="48">
        <f t="shared" si="19"/>
        <v>0.83522332943712985</v>
      </c>
      <c r="AQ9" s="6">
        <f t="shared" si="20"/>
        <v>0.75039164232912048</v>
      </c>
      <c r="AR9" s="6">
        <f t="shared" si="21"/>
        <v>4.7168204671340877E-2</v>
      </c>
      <c r="AS9" s="6">
        <f t="shared" si="22"/>
        <v>0.32878362205264483</v>
      </c>
      <c r="AT9" s="6">
        <f t="shared" si="23"/>
        <v>0.16944941654030204</v>
      </c>
      <c r="AU9" s="69">
        <v>1.45</v>
      </c>
      <c r="AV9" s="70">
        <v>1.29</v>
      </c>
      <c r="AW9" s="36"/>
      <c r="AX9" s="48">
        <f t="shared" si="24"/>
        <v>0.12075704202710301</v>
      </c>
      <c r="AY9" s="6">
        <v>9.6000000000000002E-2</v>
      </c>
      <c r="AZ9" s="6">
        <f t="shared" si="25"/>
        <v>0.2105351090744188</v>
      </c>
      <c r="BA9" s="6">
        <f t="shared" si="26"/>
        <v>0.22854830734479151</v>
      </c>
      <c r="BB9" s="41">
        <f t="shared" si="27"/>
        <v>0.25106480518275742</v>
      </c>
      <c r="BC9" s="6"/>
      <c r="BD9" s="48">
        <v>0.2041</v>
      </c>
      <c r="BE9" s="6">
        <v>0.22239999999999999</v>
      </c>
      <c r="BF9" s="41">
        <v>0.2447</v>
      </c>
      <c r="BG9" s="6"/>
      <c r="BH9" s="48"/>
      <c r="BI9" s="41">
        <v>2.7E-2</v>
      </c>
      <c r="BJ9" s="48"/>
      <c r="BK9" s="41"/>
      <c r="BL9" s="63"/>
      <c r="BM9" s="6"/>
      <c r="BN9" s="48"/>
      <c r="BO9" s="41">
        <f>BD9-(4.5%+2.5%+3%+2.5%+BI9)</f>
        <v>5.2100000000000007E-2</v>
      </c>
      <c r="BP9" s="6"/>
      <c r="BQ9" s="48"/>
      <c r="BR9" s="41">
        <f>BE9-(6%+2.5%+3%+2.5%+BI9)</f>
        <v>5.5400000000000005E-2</v>
      </c>
      <c r="BS9" s="6"/>
      <c r="BT9" s="48"/>
      <c r="BU9" s="41">
        <f>BF9-(8%+2.5%+3%+2.5%+BI9)</f>
        <v>5.7700000000000001E-2</v>
      </c>
      <c r="BV9" s="36"/>
      <c r="BW9" s="39">
        <f t="shared" si="28"/>
        <v>-1.5597800247584544E-3</v>
      </c>
      <c r="BX9" s="6">
        <f t="shared" si="29"/>
        <v>-7.6316659461383954E-2</v>
      </c>
      <c r="BY9" s="40">
        <f t="shared" si="30"/>
        <v>1.6851892532759725E-2</v>
      </c>
      <c r="BZ9" s="6">
        <f t="shared" si="31"/>
        <v>0.10717668974549709</v>
      </c>
      <c r="CA9" s="6">
        <f t="shared" si="32"/>
        <v>0.90159199526357603</v>
      </c>
      <c r="CB9" s="41">
        <f t="shared" si="33"/>
        <v>0.92617743340674419</v>
      </c>
      <c r="CC9" s="36"/>
      <c r="CD9" s="35">
        <v>68.623000000000005</v>
      </c>
      <c r="CE9" s="36">
        <v>146.35300000000001</v>
      </c>
      <c r="CF9" s="37">
        <f t="shared" si="34"/>
        <v>214.976</v>
      </c>
      <c r="CG9" s="33">
        <f t="shared" si="35"/>
        <v>4001.3310000000001</v>
      </c>
      <c r="CH9" s="36">
        <v>1.681</v>
      </c>
      <c r="CI9" s="36">
        <v>7.7450000000000001</v>
      </c>
      <c r="CJ9" s="37">
        <f t="shared" si="36"/>
        <v>3991.9050000000002</v>
      </c>
      <c r="CK9" s="36">
        <v>654.63400000000001</v>
      </c>
      <c r="CL9" s="36">
        <v>243.23699999999999</v>
      </c>
      <c r="CM9" s="37">
        <f t="shared" si="37"/>
        <v>897.87099999999998</v>
      </c>
      <c r="CN9" s="36">
        <v>0</v>
      </c>
      <c r="CO9" s="36">
        <v>0</v>
      </c>
      <c r="CP9" s="36">
        <v>20.239000000000001</v>
      </c>
      <c r="CQ9" s="36">
        <v>6.9830000000003203</v>
      </c>
      <c r="CR9" s="37">
        <f t="shared" si="38"/>
        <v>5131.9740000000002</v>
      </c>
      <c r="CS9" s="36">
        <v>150.95500000000001</v>
      </c>
      <c r="CT9" s="33">
        <v>3342.0050000000001</v>
      </c>
      <c r="CU9" s="37">
        <f t="shared" si="39"/>
        <v>3492.96</v>
      </c>
      <c r="CV9" s="36">
        <v>870.06399999999996</v>
      </c>
      <c r="CW9" s="36">
        <v>58.57100000000014</v>
      </c>
      <c r="CX9" s="37">
        <f t="shared" si="40"/>
        <v>928.6350000000001</v>
      </c>
      <c r="CY9" s="36">
        <v>90.656999999999996</v>
      </c>
      <c r="CZ9" s="36">
        <v>619.72199999999998</v>
      </c>
      <c r="DA9" s="71">
        <f t="shared" si="41"/>
        <v>5131.9740000000002</v>
      </c>
      <c r="DB9" s="36"/>
      <c r="DC9" s="72">
        <v>869.61</v>
      </c>
      <c r="DD9" s="36"/>
      <c r="DE9" s="32">
        <v>450</v>
      </c>
      <c r="DF9" s="33">
        <v>185</v>
      </c>
      <c r="DG9" s="33">
        <v>200</v>
      </c>
      <c r="DH9" s="33">
        <v>80</v>
      </c>
      <c r="DI9" s="33">
        <v>140</v>
      </c>
      <c r="DJ9" s="33">
        <v>0</v>
      </c>
      <c r="DK9" s="34">
        <f t="shared" si="42"/>
        <v>1055</v>
      </c>
      <c r="DL9" s="63">
        <f t="shared" si="43"/>
        <v>0.20557391756076707</v>
      </c>
      <c r="DM9" s="63">
        <f t="shared" si="44"/>
        <v>0.33540505076604049</v>
      </c>
      <c r="DN9" s="36"/>
      <c r="DO9" s="65" t="s">
        <v>162</v>
      </c>
      <c r="DP9" s="59">
        <v>28</v>
      </c>
      <c r="DQ9" s="59">
        <v>9186</v>
      </c>
      <c r="DR9" s="73">
        <v>1</v>
      </c>
      <c r="DS9" s="59" t="s">
        <v>163</v>
      </c>
      <c r="DT9" s="75" t="s">
        <v>164</v>
      </c>
      <c r="DU9" s="62" t="s">
        <v>174</v>
      </c>
      <c r="DV9" s="63" t="s">
        <v>172</v>
      </c>
      <c r="DW9" s="64"/>
      <c r="DX9" s="32">
        <v>467.51299999999998</v>
      </c>
      <c r="DY9" s="33">
        <v>507.51299999999998</v>
      </c>
      <c r="DZ9" s="34">
        <v>557.51300000000003</v>
      </c>
      <c r="EA9" s="33"/>
      <c r="EB9" s="65">
        <f t="shared" si="45"/>
        <v>2164.8510000000001</v>
      </c>
      <c r="EC9" s="33">
        <v>2109.1080000000002</v>
      </c>
      <c r="ED9" s="34">
        <v>2220.5940000000001</v>
      </c>
      <c r="EE9" s="33"/>
      <c r="EF9" s="32">
        <v>0</v>
      </c>
      <c r="EG9" s="33">
        <v>6.3490000000000002</v>
      </c>
      <c r="EH9" s="33">
        <v>124.259</v>
      </c>
      <c r="EI9" s="33">
        <v>9.0909999999999993</v>
      </c>
      <c r="EJ9" s="33">
        <v>271.09199999999998</v>
      </c>
      <c r="EK9" s="33">
        <v>0.98799999999999999</v>
      </c>
      <c r="EL9" s="33">
        <v>53.306999999999746</v>
      </c>
      <c r="EM9" s="34">
        <v>3356.183</v>
      </c>
      <c r="EN9" s="34">
        <f t="shared" si="46"/>
        <v>3821.2689999999998</v>
      </c>
      <c r="EO9" s="59"/>
      <c r="EP9" s="48">
        <f t="shared" si="47"/>
        <v>0</v>
      </c>
      <c r="EQ9" s="6">
        <f t="shared" si="47"/>
        <v>1.6614899395985994E-3</v>
      </c>
      <c r="ER9" s="6">
        <f t="shared" si="47"/>
        <v>3.251773167500116E-2</v>
      </c>
      <c r="ES9" s="6">
        <f t="shared" si="47"/>
        <v>2.3790526131502389E-3</v>
      </c>
      <c r="ET9" s="6">
        <f t="shared" si="47"/>
        <v>7.0942924981203886E-2</v>
      </c>
      <c r="EU9" s="6">
        <f t="shared" si="47"/>
        <v>2.5855285246864326E-4</v>
      </c>
      <c r="EV9" s="6">
        <f t="shared" si="47"/>
        <v>1.3950077840633504E-2</v>
      </c>
      <c r="EW9" s="6">
        <f t="shared" si="47"/>
        <v>0.87829017009794397</v>
      </c>
      <c r="EX9" s="63">
        <f t="shared" si="48"/>
        <v>1</v>
      </c>
      <c r="EY9" s="59"/>
      <c r="EZ9" s="35">
        <v>57.009</v>
      </c>
      <c r="FA9" s="36">
        <v>10.420999999999999</v>
      </c>
      <c r="FB9" s="71">
        <f t="shared" si="49"/>
        <v>67.430000000000007</v>
      </c>
      <c r="FD9" s="35">
        <f t="shared" si="50"/>
        <v>1.681</v>
      </c>
      <c r="FE9" s="36">
        <f t="shared" si="50"/>
        <v>7.7450000000000001</v>
      </c>
      <c r="FF9" s="71">
        <f t="shared" si="51"/>
        <v>9.4260000000000002</v>
      </c>
      <c r="FH9" s="32">
        <f t="shared" si="52"/>
        <v>3607.5680000000002</v>
      </c>
      <c r="FI9" s="33">
        <f t="shared" si="53"/>
        <v>393.76300000000009</v>
      </c>
      <c r="FJ9" s="34">
        <f t="shared" si="54"/>
        <v>4001.3310000000001</v>
      </c>
      <c r="FL9" s="48">
        <v>0.90159199526357603</v>
      </c>
      <c r="FM9" s="6">
        <v>9.8408004736423971E-2</v>
      </c>
      <c r="FN9" s="41">
        <f t="shared" si="55"/>
        <v>1</v>
      </c>
      <c r="FO9" s="59"/>
      <c r="FP9" s="65">
        <f t="shared" si="56"/>
        <v>573.13400000000001</v>
      </c>
      <c r="FQ9" s="33">
        <v>526.54600000000005</v>
      </c>
      <c r="FR9" s="34">
        <f t="shared" si="57"/>
        <v>619.72199999999998</v>
      </c>
      <c r="FT9" s="65">
        <f t="shared" si="58"/>
        <v>3847.9785000000002</v>
      </c>
      <c r="FU9" s="33">
        <v>3694.6260000000002</v>
      </c>
      <c r="FV9" s="34">
        <f t="shared" si="59"/>
        <v>4001.3310000000001</v>
      </c>
      <c r="FX9" s="65">
        <f t="shared" si="60"/>
        <v>1437.0650000000001</v>
      </c>
      <c r="FY9" s="33">
        <v>1541.55</v>
      </c>
      <c r="FZ9" s="34">
        <f t="shared" si="61"/>
        <v>1332.58</v>
      </c>
      <c r="GB9" s="65">
        <f t="shared" si="62"/>
        <v>5285.0434999999998</v>
      </c>
      <c r="GC9" s="59">
        <f t="shared" si="63"/>
        <v>5236.1760000000004</v>
      </c>
      <c r="GD9" s="73">
        <f t="shared" si="63"/>
        <v>5333.9110000000001</v>
      </c>
      <c r="GF9" s="65">
        <f t="shared" si="64"/>
        <v>3385.32</v>
      </c>
      <c r="GG9" s="33">
        <v>3428.6350000000002</v>
      </c>
      <c r="GH9" s="34">
        <f t="shared" si="65"/>
        <v>3342.0050000000001</v>
      </c>
      <c r="GI9" s="33"/>
      <c r="GJ9" s="65">
        <f t="shared" si="66"/>
        <v>5055.6100000000006</v>
      </c>
      <c r="GK9" s="33">
        <v>4979.2460000000001</v>
      </c>
      <c r="GL9" s="34">
        <f t="shared" si="67"/>
        <v>5131.9740000000002</v>
      </c>
      <c r="GM9" s="33"/>
      <c r="GN9" s="76">
        <f t="shared" si="68"/>
        <v>0.43269782738571944</v>
      </c>
      <c r="GO9" s="67"/>
    </row>
    <row r="10" spans="2:198" s="1" customFormat="1" x14ac:dyDescent="0.2">
      <c r="B10" s="77" t="s">
        <v>175</v>
      </c>
      <c r="C10" s="32">
        <v>2035.171</v>
      </c>
      <c r="D10" s="33">
        <v>1966.7865000000002</v>
      </c>
      <c r="E10" s="33">
        <v>1665.992</v>
      </c>
      <c r="F10" s="33">
        <v>878.91700000000003</v>
      </c>
      <c r="G10" s="33">
        <v>1588.547</v>
      </c>
      <c r="H10" s="33">
        <v>2914.0880000000002</v>
      </c>
      <c r="I10" s="34">
        <v>2544.9090000000001</v>
      </c>
      <c r="J10" s="33"/>
      <c r="K10" s="35">
        <v>21.204000000000001</v>
      </c>
      <c r="L10" s="36">
        <v>4.7140000000000004</v>
      </c>
      <c r="M10" s="36">
        <v>0</v>
      </c>
      <c r="N10" s="37">
        <f t="shared" si="0"/>
        <v>25.917999999999999</v>
      </c>
      <c r="O10" s="36">
        <v>16.39</v>
      </c>
      <c r="P10" s="37">
        <f t="shared" si="1"/>
        <v>9.5279999999999987</v>
      </c>
      <c r="Q10" s="36">
        <v>-0.59699999999999998</v>
      </c>
      <c r="R10" s="37">
        <f t="shared" si="2"/>
        <v>10.124999999999998</v>
      </c>
      <c r="S10" s="36">
        <v>4.181</v>
      </c>
      <c r="T10" s="36">
        <v>0.53700000000000003</v>
      </c>
      <c r="U10" s="36">
        <v>-1.5529999999999999</v>
      </c>
      <c r="V10" s="37">
        <f t="shared" si="3"/>
        <v>13.29</v>
      </c>
      <c r="W10" s="36">
        <v>2.39</v>
      </c>
      <c r="X10" s="38">
        <f t="shared" si="4"/>
        <v>10.899999999999999</v>
      </c>
      <c r="Y10" s="36"/>
      <c r="Z10" s="39">
        <f t="shared" si="5"/>
        <v>2.1562076005707788E-2</v>
      </c>
      <c r="AA10" s="40">
        <f t="shared" si="6"/>
        <v>4.7936062200955726E-3</v>
      </c>
      <c r="AB10" s="6">
        <f t="shared" si="7"/>
        <v>0.53499151325238281</v>
      </c>
      <c r="AC10" s="6">
        <f t="shared" si="8"/>
        <v>0.54453636333433009</v>
      </c>
      <c r="AD10" s="6">
        <f t="shared" si="9"/>
        <v>0.63237904159271552</v>
      </c>
      <c r="AE10" s="40">
        <f t="shared" si="10"/>
        <v>1.6666781066475695E-2</v>
      </c>
      <c r="AF10" s="40">
        <f t="shared" si="11"/>
        <v>1.1084070385880723E-2</v>
      </c>
      <c r="AG10" s="40">
        <f t="shared" si="12"/>
        <v>2.3587138517634901E-2</v>
      </c>
      <c r="AH10" s="40">
        <f t="shared" si="13"/>
        <v>3.0827740855250169E-2</v>
      </c>
      <c r="AI10" s="40">
        <f t="shared" si="14"/>
        <v>2.1910071329454436E-2</v>
      </c>
      <c r="AJ10" s="41">
        <f t="shared" si="15"/>
        <v>7.2542015303703133E-2</v>
      </c>
      <c r="AK10" s="42"/>
      <c r="AL10" s="48">
        <f t="shared" si="16"/>
        <v>7.4690025267593191E-2</v>
      </c>
      <c r="AM10" s="6">
        <f t="shared" si="17"/>
        <v>0.10094823368277971</v>
      </c>
      <c r="AN10" s="41">
        <f t="shared" si="18"/>
        <v>4.7924037155509795E-2</v>
      </c>
      <c r="AO10" s="36"/>
      <c r="AP10" s="48">
        <f t="shared" si="19"/>
        <v>0.95351418254109266</v>
      </c>
      <c r="AQ10" s="6">
        <f t="shared" si="20"/>
        <v>0.92663280293900441</v>
      </c>
      <c r="AR10" s="6">
        <f t="shared" si="21"/>
        <v>-5.4076045698371281E-2</v>
      </c>
      <c r="AS10" s="6">
        <f t="shared" si="22"/>
        <v>0.27773268192205963</v>
      </c>
      <c r="AT10" s="6">
        <f t="shared" si="23"/>
        <v>0.11587674942302144</v>
      </c>
      <c r="AU10" s="69">
        <v>2.08</v>
      </c>
      <c r="AV10" s="70">
        <v>1.39</v>
      </c>
      <c r="AW10" s="36"/>
      <c r="AX10" s="48">
        <f t="shared" si="24"/>
        <v>0.15226386382274509</v>
      </c>
      <c r="AY10" s="6">
        <v>0.107</v>
      </c>
      <c r="AZ10" s="6">
        <f t="shared" si="25"/>
        <v>0.22359999999999999</v>
      </c>
      <c r="BA10" s="6">
        <f t="shared" si="26"/>
        <v>0.22359999999999999</v>
      </c>
      <c r="BB10" s="41">
        <f t="shared" si="27"/>
        <v>0.22359999999999999</v>
      </c>
      <c r="BC10" s="6"/>
      <c r="BD10" s="48">
        <v>0.21690000000000001</v>
      </c>
      <c r="BE10" s="6">
        <v>0.22219999999999998</v>
      </c>
      <c r="BF10" s="41">
        <v>0.22789999999999999</v>
      </c>
      <c r="BG10" s="6"/>
      <c r="BH10" s="48"/>
      <c r="BI10" s="41"/>
      <c r="BJ10" s="48"/>
      <c r="BK10" s="41"/>
      <c r="BL10" s="63"/>
      <c r="BM10" s="6"/>
      <c r="BN10" s="48"/>
      <c r="BO10" s="41"/>
      <c r="BP10" s="6"/>
      <c r="BQ10" s="48"/>
      <c r="BR10" s="41"/>
      <c r="BS10" s="6"/>
      <c r="BT10" s="48"/>
      <c r="BU10" s="41"/>
      <c r="BV10" s="36"/>
      <c r="BW10" s="39">
        <f t="shared" si="28"/>
        <v>-7.4249136947060793E-4</v>
      </c>
      <c r="BX10" s="6">
        <f t="shared" si="29"/>
        <v>-4.1906500070195141E-2</v>
      </c>
      <c r="BY10" s="40">
        <f t="shared" si="30"/>
        <v>3.4561990693832865E-3</v>
      </c>
      <c r="BZ10" s="6">
        <f t="shared" si="31"/>
        <v>1.8363018831821152E-2</v>
      </c>
      <c r="CA10" s="6">
        <f t="shared" si="32"/>
        <v>0.87186973286786495</v>
      </c>
      <c r="CB10" s="41">
        <f t="shared" si="33"/>
        <v>0.91612116582557568</v>
      </c>
      <c r="CC10" s="36"/>
      <c r="CD10" s="35">
        <v>54.805999999999997</v>
      </c>
      <c r="CE10" s="36">
        <v>30.774999999999999</v>
      </c>
      <c r="CF10" s="37">
        <f t="shared" si="34"/>
        <v>85.580999999999989</v>
      </c>
      <c r="CG10" s="33">
        <f t="shared" si="35"/>
        <v>1665.992</v>
      </c>
      <c r="CH10" s="36">
        <v>1.121</v>
      </c>
      <c r="CI10" s="36">
        <v>2.5609999999999999</v>
      </c>
      <c r="CJ10" s="37">
        <f t="shared" si="36"/>
        <v>1662.31</v>
      </c>
      <c r="CK10" s="36">
        <v>150.24799999999999</v>
      </c>
      <c r="CL10" s="36">
        <v>128.608</v>
      </c>
      <c r="CM10" s="37">
        <f t="shared" si="37"/>
        <v>278.85599999999999</v>
      </c>
      <c r="CN10" s="36">
        <v>0</v>
      </c>
      <c r="CO10" s="36">
        <v>0</v>
      </c>
      <c r="CP10" s="36">
        <v>5.84</v>
      </c>
      <c r="CQ10" s="36">
        <v>2.5840000000002057</v>
      </c>
      <c r="CR10" s="37">
        <f t="shared" si="38"/>
        <v>2035.171</v>
      </c>
      <c r="CS10" s="36">
        <v>125.77500000000001</v>
      </c>
      <c r="CT10" s="33">
        <v>1588.547</v>
      </c>
      <c r="CU10" s="37">
        <f t="shared" si="39"/>
        <v>1714.3220000000001</v>
      </c>
      <c r="CV10" s="36">
        <v>0</v>
      </c>
      <c r="CW10" s="36">
        <v>10.965999999999951</v>
      </c>
      <c r="CX10" s="37">
        <f t="shared" si="40"/>
        <v>10.965999999999951</v>
      </c>
      <c r="CY10" s="36">
        <v>0</v>
      </c>
      <c r="CZ10" s="36">
        <v>309.88299999999998</v>
      </c>
      <c r="DA10" s="71">
        <f t="shared" si="41"/>
        <v>2035.171</v>
      </c>
      <c r="DB10" s="36"/>
      <c r="DC10" s="72">
        <v>235.82899999999998</v>
      </c>
      <c r="DD10" s="36"/>
      <c r="DE10" s="32">
        <v>25</v>
      </c>
      <c r="DF10" s="33">
        <v>25</v>
      </c>
      <c r="DG10" s="33">
        <v>50</v>
      </c>
      <c r="DH10" s="33">
        <v>0</v>
      </c>
      <c r="DI10" s="33">
        <v>25</v>
      </c>
      <c r="DJ10" s="33">
        <v>0</v>
      </c>
      <c r="DK10" s="34">
        <f t="shared" si="42"/>
        <v>125</v>
      </c>
      <c r="DL10" s="63">
        <f t="shared" si="43"/>
        <v>6.14199003425265E-2</v>
      </c>
      <c r="DM10" s="63">
        <f t="shared" si="44"/>
        <v>0.27735187853993593</v>
      </c>
      <c r="DN10" s="36"/>
      <c r="DO10" s="65" t="s">
        <v>162</v>
      </c>
      <c r="DP10" s="59">
        <v>18</v>
      </c>
      <c r="DQ10" s="59">
        <v>5828</v>
      </c>
      <c r="DR10" s="73">
        <v>2</v>
      </c>
      <c r="DS10" s="59" t="s">
        <v>163</v>
      </c>
      <c r="DT10" s="65"/>
      <c r="DU10" s="59"/>
      <c r="DV10" s="63" t="s">
        <v>172</v>
      </c>
      <c r="DW10" s="64"/>
      <c r="DX10" s="32">
        <v>212.37729239999999</v>
      </c>
      <c r="DY10" s="33">
        <v>212.37729239999999</v>
      </c>
      <c r="DZ10" s="34">
        <v>212.37729239999999</v>
      </c>
      <c r="EA10" s="33"/>
      <c r="EB10" s="65">
        <f t="shared" si="45"/>
        <v>924.23249999999996</v>
      </c>
      <c r="EC10" s="33">
        <v>898.65599999999995</v>
      </c>
      <c r="ED10" s="34">
        <v>949.80899999999997</v>
      </c>
      <c r="EE10" s="33"/>
      <c r="EF10" s="32">
        <v>8.266</v>
      </c>
      <c r="EG10" s="33">
        <v>12.02</v>
      </c>
      <c r="EH10" s="33">
        <v>33.000999999999998</v>
      </c>
      <c r="EI10" s="33">
        <v>7.5289999999999999</v>
      </c>
      <c r="EJ10" s="33">
        <v>77.646000000000001</v>
      </c>
      <c r="EK10" s="33">
        <v>12.285</v>
      </c>
      <c r="EL10" s="33">
        <v>50.212999999999965</v>
      </c>
      <c r="EM10" s="34">
        <v>1393.5360000000001</v>
      </c>
      <c r="EN10" s="34">
        <f t="shared" si="46"/>
        <v>1594.4960000000001</v>
      </c>
      <c r="EO10" s="59"/>
      <c r="EP10" s="48">
        <f t="shared" si="47"/>
        <v>5.1840832463675036E-3</v>
      </c>
      <c r="EQ10" s="6">
        <f t="shared" si="47"/>
        <v>7.5384322067913612E-3</v>
      </c>
      <c r="ER10" s="6">
        <f t="shared" si="47"/>
        <v>2.0696822067913619E-2</v>
      </c>
      <c r="ES10" s="6">
        <f t="shared" si="47"/>
        <v>4.721868226699847E-3</v>
      </c>
      <c r="ET10" s="6">
        <f t="shared" si="47"/>
        <v>4.8696265152123303E-2</v>
      </c>
      <c r="EU10" s="6">
        <f t="shared" si="47"/>
        <v>7.7046289234968283E-3</v>
      </c>
      <c r="EV10" s="6">
        <f t="shared" si="47"/>
        <v>3.1491455607289054E-2</v>
      </c>
      <c r="EW10" s="6">
        <f t="shared" si="47"/>
        <v>0.87396644456931849</v>
      </c>
      <c r="EX10" s="63">
        <f t="shared" si="48"/>
        <v>1</v>
      </c>
      <c r="EY10" s="59"/>
      <c r="EZ10" s="35">
        <v>5.758</v>
      </c>
      <c r="FA10" s="36">
        <v>0</v>
      </c>
      <c r="FB10" s="71">
        <f t="shared" si="49"/>
        <v>5.758</v>
      </c>
      <c r="FD10" s="35">
        <f t="shared" si="50"/>
        <v>1.121</v>
      </c>
      <c r="FE10" s="36">
        <f t="shared" si="50"/>
        <v>2.5609999999999999</v>
      </c>
      <c r="FF10" s="71">
        <f t="shared" si="51"/>
        <v>3.6819999999999999</v>
      </c>
      <c r="FH10" s="32">
        <f t="shared" si="52"/>
        <v>1452.528</v>
      </c>
      <c r="FI10" s="33">
        <f t="shared" si="53"/>
        <v>213.46399999999991</v>
      </c>
      <c r="FJ10" s="34">
        <f t="shared" si="54"/>
        <v>1665.992</v>
      </c>
      <c r="FL10" s="48">
        <v>0.87186973286786495</v>
      </c>
      <c r="FM10" s="6">
        <v>0.12813026713213505</v>
      </c>
      <c r="FN10" s="41">
        <f t="shared" si="55"/>
        <v>1</v>
      </c>
      <c r="FO10" s="59"/>
      <c r="FP10" s="65">
        <f t="shared" si="56"/>
        <v>300.51549999999997</v>
      </c>
      <c r="FQ10" s="33">
        <v>291.14800000000002</v>
      </c>
      <c r="FR10" s="34">
        <f t="shared" si="57"/>
        <v>309.88299999999998</v>
      </c>
      <c r="FT10" s="65">
        <f t="shared" si="58"/>
        <v>1608.0995</v>
      </c>
      <c r="FU10" s="33">
        <v>1550.2070000000001</v>
      </c>
      <c r="FV10" s="34">
        <f t="shared" si="59"/>
        <v>1665.992</v>
      </c>
      <c r="FX10" s="65">
        <f t="shared" si="60"/>
        <v>820.13550000000009</v>
      </c>
      <c r="FY10" s="33">
        <v>761.35400000000004</v>
      </c>
      <c r="FZ10" s="34">
        <f t="shared" si="61"/>
        <v>878.91700000000003</v>
      </c>
      <c r="GB10" s="65">
        <f t="shared" si="62"/>
        <v>2428.2350000000001</v>
      </c>
      <c r="GC10" s="59">
        <f t="shared" si="63"/>
        <v>2311.5610000000001</v>
      </c>
      <c r="GD10" s="73">
        <f t="shared" si="63"/>
        <v>2544.9090000000001</v>
      </c>
      <c r="GF10" s="65">
        <f t="shared" si="64"/>
        <v>1552.223</v>
      </c>
      <c r="GG10" s="33">
        <v>1515.8989999999999</v>
      </c>
      <c r="GH10" s="34">
        <f t="shared" si="65"/>
        <v>1588.547</v>
      </c>
      <c r="GI10" s="33"/>
      <c r="GJ10" s="65">
        <f t="shared" si="66"/>
        <v>1966.7865000000002</v>
      </c>
      <c r="GK10" s="33">
        <v>1898.402</v>
      </c>
      <c r="GL10" s="34">
        <f t="shared" si="67"/>
        <v>2035.171</v>
      </c>
      <c r="GM10" s="33"/>
      <c r="GN10" s="76">
        <f t="shared" si="68"/>
        <v>0.46669739299547802</v>
      </c>
      <c r="GO10" s="67"/>
    </row>
    <row r="11" spans="2:198" s="1" customFormat="1" x14ac:dyDescent="0.2">
      <c r="B11" s="77" t="s">
        <v>176</v>
      </c>
      <c r="C11" s="32">
        <v>3590.047</v>
      </c>
      <c r="D11" s="33">
        <v>3546.9870000000001</v>
      </c>
      <c r="E11" s="33">
        <v>2991.9560000000001</v>
      </c>
      <c r="F11" s="33">
        <v>291.36</v>
      </c>
      <c r="G11" s="33">
        <v>2449.7829999999999</v>
      </c>
      <c r="H11" s="33">
        <v>3881.4070000000002</v>
      </c>
      <c r="I11" s="34">
        <v>3283.3160000000003</v>
      </c>
      <c r="J11" s="33"/>
      <c r="K11" s="35">
        <v>42.751000000000005</v>
      </c>
      <c r="L11" s="36">
        <v>6.8609999999999998</v>
      </c>
      <c r="M11" s="36">
        <v>3.8000000000000006E-2</v>
      </c>
      <c r="N11" s="37">
        <f t="shared" si="0"/>
        <v>49.65</v>
      </c>
      <c r="O11" s="36">
        <v>24.479999999999997</v>
      </c>
      <c r="P11" s="37">
        <f t="shared" si="1"/>
        <v>25.17</v>
      </c>
      <c r="Q11" s="36">
        <v>1.4039999999999999</v>
      </c>
      <c r="R11" s="37">
        <f t="shared" si="2"/>
        <v>23.766000000000002</v>
      </c>
      <c r="S11" s="36">
        <v>4.117</v>
      </c>
      <c r="T11" s="36">
        <v>1.861</v>
      </c>
      <c r="U11" s="36">
        <v>-3.9</v>
      </c>
      <c r="V11" s="37">
        <f t="shared" si="3"/>
        <v>25.844000000000005</v>
      </c>
      <c r="W11" s="36">
        <v>6.1</v>
      </c>
      <c r="X11" s="38">
        <f t="shared" si="4"/>
        <v>19.744000000000007</v>
      </c>
      <c r="Y11" s="36"/>
      <c r="Z11" s="39">
        <f t="shared" si="5"/>
        <v>2.4105529566361538E-2</v>
      </c>
      <c r="AA11" s="40">
        <f t="shared" si="6"/>
        <v>3.8686355489884793E-3</v>
      </c>
      <c r="AB11" s="6">
        <f t="shared" si="7"/>
        <v>0.44006615373552888</v>
      </c>
      <c r="AC11" s="6">
        <f t="shared" si="8"/>
        <v>0.45529785928171551</v>
      </c>
      <c r="AD11" s="6">
        <f t="shared" si="9"/>
        <v>0.49305135951661627</v>
      </c>
      <c r="AE11" s="40">
        <f t="shared" si="10"/>
        <v>1.3803264573566239E-2</v>
      </c>
      <c r="AF11" s="40">
        <f t="shared" si="11"/>
        <v>1.1132829074366501E-2</v>
      </c>
      <c r="AG11" s="40">
        <f t="shared" si="12"/>
        <v>2.27805177191099E-2</v>
      </c>
      <c r="AH11" s="40">
        <f t="shared" si="13"/>
        <v>3.593838968369302E-2</v>
      </c>
      <c r="AI11" s="40">
        <f t="shared" si="14"/>
        <v>2.7421079017036352E-2</v>
      </c>
      <c r="AJ11" s="41">
        <f t="shared" si="15"/>
        <v>7.8149954975904712E-2</v>
      </c>
      <c r="AK11" s="42"/>
      <c r="AL11" s="48">
        <f t="shared" si="16"/>
        <v>4.8808522676085542E-2</v>
      </c>
      <c r="AM11" s="6">
        <f t="shared" si="17"/>
        <v>4.8218519277638504E-2</v>
      </c>
      <c r="AN11" s="41">
        <f t="shared" si="18"/>
        <v>-3.1704027756587656E-2</v>
      </c>
      <c r="AO11" s="36"/>
      <c r="AP11" s="48">
        <f t="shared" si="19"/>
        <v>0.81878978166791216</v>
      </c>
      <c r="AQ11" s="6">
        <f t="shared" si="20"/>
        <v>0.80750212853342318</v>
      </c>
      <c r="AR11" s="6">
        <f t="shared" si="21"/>
        <v>5.7447994413443615E-2</v>
      </c>
      <c r="AS11" s="6">
        <f t="shared" si="22"/>
        <v>0.20324970675871373</v>
      </c>
      <c r="AT11" s="6">
        <f t="shared" si="23"/>
        <v>0.10522285641385754</v>
      </c>
      <c r="AU11" s="69">
        <v>6.78</v>
      </c>
      <c r="AV11" s="70">
        <v>1.46</v>
      </c>
      <c r="AW11" s="36"/>
      <c r="AX11" s="48">
        <f t="shared" si="24"/>
        <v>0.1469122827639861</v>
      </c>
      <c r="AY11" s="6">
        <v>0.1293</v>
      </c>
      <c r="AZ11" s="6">
        <f t="shared" si="25"/>
        <v>0.26705519991021637</v>
      </c>
      <c r="BA11" s="6">
        <f t="shared" si="26"/>
        <v>0.26705519991021637</v>
      </c>
      <c r="BB11" s="41">
        <f t="shared" si="27"/>
        <v>0.26705519991021637</v>
      </c>
      <c r="BC11" s="6"/>
      <c r="BD11" s="48">
        <v>0.2571</v>
      </c>
      <c r="BE11" s="6">
        <v>0.25869999999999999</v>
      </c>
      <c r="BF11" s="41">
        <v>0.26050000000000001</v>
      </c>
      <c r="BG11" s="6"/>
      <c r="BH11" s="48"/>
      <c r="BI11" s="78">
        <v>2.3E-2</v>
      </c>
      <c r="BJ11" s="79">
        <f>BI11*56.25%</f>
        <v>1.2937499999999999E-2</v>
      </c>
      <c r="BK11" s="78">
        <f>BI11*75%</f>
        <v>1.7250000000000001E-2</v>
      </c>
      <c r="BL11" s="80">
        <v>0.01</v>
      </c>
      <c r="BM11" s="6"/>
      <c r="BN11" s="48"/>
      <c r="BO11" s="78">
        <f>BD11-(4.5%+2.5%+3%+2.5%+BJ11)</f>
        <v>0.1191625</v>
      </c>
      <c r="BP11" s="6"/>
      <c r="BQ11" s="48"/>
      <c r="BR11" s="78">
        <f>BE11-(6%+2.5%+3%+2.5%+BK11)</f>
        <v>0.10144999999999998</v>
      </c>
      <c r="BS11" s="6"/>
      <c r="BT11" s="48"/>
      <c r="BU11" s="41">
        <f>BF11-(8%+2.5%+3%+2.5%+BI11)</f>
        <v>7.7500000000000013E-2</v>
      </c>
      <c r="BV11" s="36"/>
      <c r="BW11" s="39">
        <f t="shared" si="28"/>
        <v>9.6087464230260869E-4</v>
      </c>
      <c r="BX11" s="6">
        <f t="shared" si="29"/>
        <v>4.5075125208681129E-2</v>
      </c>
      <c r="BY11" s="40">
        <f t="shared" si="30"/>
        <v>2.5643425237536915E-2</v>
      </c>
      <c r="BZ11" s="6">
        <f t="shared" si="31"/>
        <v>0.14223003284912389</v>
      </c>
      <c r="CA11" s="6">
        <f t="shared" si="32"/>
        <v>0.83726532074669546</v>
      </c>
      <c r="CB11" s="41">
        <f t="shared" si="33"/>
        <v>0.85170632372881561</v>
      </c>
      <c r="CC11" s="36"/>
      <c r="CD11" s="35">
        <v>54.786000000000001</v>
      </c>
      <c r="CE11" s="36">
        <v>6.609</v>
      </c>
      <c r="CF11" s="37">
        <f t="shared" si="34"/>
        <v>61.395000000000003</v>
      </c>
      <c r="CG11" s="33">
        <f t="shared" si="35"/>
        <v>2991.9560000000001</v>
      </c>
      <c r="CH11" s="36">
        <v>5.2</v>
      </c>
      <c r="CI11" s="36">
        <v>6.8140000000000001</v>
      </c>
      <c r="CJ11" s="37">
        <f t="shared" si="36"/>
        <v>2979.9420000000005</v>
      </c>
      <c r="CK11" s="36">
        <v>310.58300000000003</v>
      </c>
      <c r="CL11" s="36">
        <v>191.43899999999999</v>
      </c>
      <c r="CM11" s="37">
        <f t="shared" si="37"/>
        <v>502.02200000000005</v>
      </c>
      <c r="CN11" s="36">
        <v>0</v>
      </c>
      <c r="CO11" s="36">
        <v>0</v>
      </c>
      <c r="CP11" s="36">
        <v>37.575000000000003</v>
      </c>
      <c r="CQ11" s="36">
        <v>9.1129999999995306</v>
      </c>
      <c r="CR11" s="37">
        <f t="shared" si="38"/>
        <v>3590.0469999999996</v>
      </c>
      <c r="CS11" s="36">
        <v>145.435</v>
      </c>
      <c r="CT11" s="33">
        <v>2449.7829999999999</v>
      </c>
      <c r="CU11" s="37">
        <f t="shared" si="39"/>
        <v>2595.2179999999998</v>
      </c>
      <c r="CV11" s="36">
        <v>438.56099999999998</v>
      </c>
      <c r="CW11" s="36">
        <v>28.846000000000231</v>
      </c>
      <c r="CX11" s="37">
        <f t="shared" si="40"/>
        <v>467.40700000000021</v>
      </c>
      <c r="CY11" s="36">
        <v>0</v>
      </c>
      <c r="CZ11" s="36">
        <v>527.42200000000003</v>
      </c>
      <c r="DA11" s="71">
        <f t="shared" si="41"/>
        <v>3590.047</v>
      </c>
      <c r="DB11" s="36"/>
      <c r="DC11" s="72">
        <v>377.755</v>
      </c>
      <c r="DD11" s="36"/>
      <c r="DE11" s="32">
        <v>92</v>
      </c>
      <c r="DF11" s="33">
        <v>344</v>
      </c>
      <c r="DG11" s="33">
        <v>125</v>
      </c>
      <c r="DH11" s="33">
        <v>0</v>
      </c>
      <c r="DI11" s="33">
        <v>0</v>
      </c>
      <c r="DJ11" s="33">
        <v>0</v>
      </c>
      <c r="DK11" s="34">
        <f t="shared" si="42"/>
        <v>561</v>
      </c>
      <c r="DL11" s="63">
        <f t="shared" si="43"/>
        <v>0.15626536365679891</v>
      </c>
      <c r="DM11" s="63">
        <f t="shared" si="44"/>
        <v>0.19684421958821152</v>
      </c>
      <c r="DN11" s="36"/>
      <c r="DO11" s="65" t="s">
        <v>177</v>
      </c>
      <c r="DP11" s="59">
        <v>19</v>
      </c>
      <c r="DQ11" s="59">
        <v>6910</v>
      </c>
      <c r="DR11" s="73">
        <v>1</v>
      </c>
      <c r="DS11" s="59" t="s">
        <v>163</v>
      </c>
      <c r="DT11" s="75" t="s">
        <v>164</v>
      </c>
      <c r="DU11" s="59"/>
      <c r="DV11" s="63" t="s">
        <v>172</v>
      </c>
      <c r="DW11" s="64"/>
      <c r="DX11" s="32">
        <v>471.15</v>
      </c>
      <c r="DY11" s="33">
        <v>471.15</v>
      </c>
      <c r="DZ11" s="34">
        <v>471.15</v>
      </c>
      <c r="EA11" s="33"/>
      <c r="EB11" s="65">
        <f t="shared" si="45"/>
        <v>1733.4110000000001</v>
      </c>
      <c r="EC11" s="33">
        <v>1702.58</v>
      </c>
      <c r="ED11" s="34">
        <v>1764.242</v>
      </c>
      <c r="EE11" s="33"/>
      <c r="EF11" s="32">
        <v>64.549000000000007</v>
      </c>
      <c r="EG11" s="33">
        <v>50.372</v>
      </c>
      <c r="EH11" s="33">
        <v>45.371000000000002</v>
      </c>
      <c r="EI11" s="33">
        <v>21.44</v>
      </c>
      <c r="EJ11" s="33">
        <v>292.22800000000001</v>
      </c>
      <c r="EK11" s="33">
        <v>19.367000000000001</v>
      </c>
      <c r="EL11" s="33">
        <v>42.440999999999804</v>
      </c>
      <c r="EM11" s="34">
        <v>2395.2350000000001</v>
      </c>
      <c r="EN11" s="34">
        <f t="shared" si="46"/>
        <v>2931.0029999999997</v>
      </c>
      <c r="EO11" s="59"/>
      <c r="EP11" s="48">
        <f t="shared" si="47"/>
        <v>2.2022836551173784E-2</v>
      </c>
      <c r="EQ11" s="6">
        <f t="shared" si="47"/>
        <v>1.7185925773532135E-2</v>
      </c>
      <c r="ER11" s="6">
        <f t="shared" si="47"/>
        <v>1.5479683917075488E-2</v>
      </c>
      <c r="ES11" s="6">
        <f t="shared" si="47"/>
        <v>7.3149021000660881E-3</v>
      </c>
      <c r="ET11" s="6">
        <f t="shared" si="47"/>
        <v>9.970238856800899E-2</v>
      </c>
      <c r="EU11" s="6">
        <f t="shared" si="47"/>
        <v>6.6076356796632429E-3</v>
      </c>
      <c r="EV11" s="6">
        <f t="shared" si="47"/>
        <v>1.448002612075109E-2</v>
      </c>
      <c r="EW11" s="6">
        <f t="shared" si="47"/>
        <v>0.81720660128972933</v>
      </c>
      <c r="EX11" s="63">
        <f t="shared" si="48"/>
        <v>1.0000000000000002</v>
      </c>
      <c r="EY11" s="59"/>
      <c r="EZ11" s="35">
        <v>55.18</v>
      </c>
      <c r="FA11" s="36">
        <v>21.544</v>
      </c>
      <c r="FB11" s="71">
        <f t="shared" si="49"/>
        <v>76.724000000000004</v>
      </c>
      <c r="FD11" s="35">
        <f t="shared" si="50"/>
        <v>5.2</v>
      </c>
      <c r="FE11" s="36">
        <f t="shared" si="50"/>
        <v>6.8140000000000001</v>
      </c>
      <c r="FF11" s="71">
        <f t="shared" si="51"/>
        <v>12.013999999999999</v>
      </c>
      <c r="FH11" s="32">
        <f t="shared" si="52"/>
        <v>2505.0610000000001</v>
      </c>
      <c r="FI11" s="33">
        <f t="shared" si="53"/>
        <v>486.89500000000004</v>
      </c>
      <c r="FJ11" s="34">
        <f t="shared" si="54"/>
        <v>2991.9560000000001</v>
      </c>
      <c r="FL11" s="48">
        <v>0.83726532074669546</v>
      </c>
      <c r="FM11" s="6">
        <v>0.16273467925330454</v>
      </c>
      <c r="FN11" s="41">
        <f t="shared" si="55"/>
        <v>1</v>
      </c>
      <c r="FO11" s="59"/>
      <c r="FP11" s="65">
        <f t="shared" si="56"/>
        <v>505.28500000000003</v>
      </c>
      <c r="FQ11" s="33">
        <v>483.14800000000002</v>
      </c>
      <c r="FR11" s="34">
        <f t="shared" si="57"/>
        <v>527.42200000000003</v>
      </c>
      <c r="FT11" s="65">
        <f t="shared" si="58"/>
        <v>2922.3375000000001</v>
      </c>
      <c r="FU11" s="33">
        <v>2852.7190000000001</v>
      </c>
      <c r="FV11" s="34">
        <f t="shared" si="59"/>
        <v>2991.9560000000001</v>
      </c>
      <c r="FX11" s="65">
        <f t="shared" si="60"/>
        <v>285.4615</v>
      </c>
      <c r="FY11" s="33">
        <v>279.56299999999999</v>
      </c>
      <c r="FZ11" s="34">
        <f t="shared" si="61"/>
        <v>291.36</v>
      </c>
      <c r="GB11" s="65">
        <f t="shared" si="62"/>
        <v>3207.799</v>
      </c>
      <c r="GC11" s="59">
        <f t="shared" si="63"/>
        <v>3132.2820000000002</v>
      </c>
      <c r="GD11" s="73">
        <f t="shared" si="63"/>
        <v>3283.3160000000003</v>
      </c>
      <c r="GF11" s="65">
        <f t="shared" si="64"/>
        <v>2489.8885</v>
      </c>
      <c r="GG11" s="33">
        <v>2529.9940000000001</v>
      </c>
      <c r="GH11" s="34">
        <f t="shared" si="65"/>
        <v>2449.7829999999999</v>
      </c>
      <c r="GI11" s="33"/>
      <c r="GJ11" s="65">
        <f t="shared" si="66"/>
        <v>3546.9870000000001</v>
      </c>
      <c r="GK11" s="33">
        <v>3503.9270000000001</v>
      </c>
      <c r="GL11" s="34">
        <f t="shared" si="67"/>
        <v>3590.047</v>
      </c>
      <c r="GM11" s="33"/>
      <c r="GN11" s="76">
        <f t="shared" si="68"/>
        <v>0.49142587826844603</v>
      </c>
      <c r="GO11" s="67"/>
      <c r="GP11" s="5"/>
    </row>
    <row r="12" spans="2:198" s="1" customFormat="1" x14ac:dyDescent="0.2">
      <c r="B12" s="77" t="s">
        <v>179</v>
      </c>
      <c r="C12" s="32">
        <v>7938.2690000000002</v>
      </c>
      <c r="D12" s="33">
        <v>7719.9004999999997</v>
      </c>
      <c r="E12" s="33">
        <v>6202.91</v>
      </c>
      <c r="F12" s="33">
        <v>1949.021</v>
      </c>
      <c r="G12" s="33">
        <v>6076.1369999999997</v>
      </c>
      <c r="H12" s="33">
        <v>9887.2900000000009</v>
      </c>
      <c r="I12" s="34">
        <v>8151.9309999999996</v>
      </c>
      <c r="J12" s="33"/>
      <c r="K12" s="35">
        <v>87.679000000000002</v>
      </c>
      <c r="L12" s="36">
        <v>23.954999999999998</v>
      </c>
      <c r="M12" s="36">
        <v>0.64900000000000002</v>
      </c>
      <c r="N12" s="37">
        <f t="shared" si="0"/>
        <v>112.283</v>
      </c>
      <c r="O12" s="36">
        <v>54.019999999999996</v>
      </c>
      <c r="P12" s="37">
        <f t="shared" si="1"/>
        <v>58.263000000000005</v>
      </c>
      <c r="Q12" s="36">
        <v>9.8999999999999977E-2</v>
      </c>
      <c r="R12" s="37">
        <f t="shared" si="2"/>
        <v>58.164000000000009</v>
      </c>
      <c r="S12" s="36">
        <v>13.689</v>
      </c>
      <c r="T12" s="36">
        <v>-1.212</v>
      </c>
      <c r="U12" s="36">
        <v>-4.5939999999999994</v>
      </c>
      <c r="V12" s="37">
        <f t="shared" si="3"/>
        <v>66.047000000000011</v>
      </c>
      <c r="W12" s="36">
        <v>16.512</v>
      </c>
      <c r="X12" s="38">
        <f t="shared" si="4"/>
        <v>49.535000000000011</v>
      </c>
      <c r="Y12" s="36"/>
      <c r="Z12" s="39">
        <f t="shared" si="5"/>
        <v>2.2715059604719E-2</v>
      </c>
      <c r="AA12" s="40">
        <f t="shared" si="6"/>
        <v>6.2060385363775089E-3</v>
      </c>
      <c r="AB12" s="6">
        <f t="shared" si="7"/>
        <v>0.43299134337928818</v>
      </c>
      <c r="AC12" s="6">
        <f t="shared" si="8"/>
        <v>0.42882545327533095</v>
      </c>
      <c r="AD12" s="6">
        <f t="shared" si="9"/>
        <v>0.48110577736611948</v>
      </c>
      <c r="AE12" s="40">
        <f t="shared" si="10"/>
        <v>1.3994999028808726E-2</v>
      </c>
      <c r="AF12" s="40">
        <f t="shared" si="11"/>
        <v>1.2833066954684199E-2</v>
      </c>
      <c r="AG12" s="40">
        <f t="shared" si="12"/>
        <v>2.6004737130220952E-2</v>
      </c>
      <c r="AH12" s="40">
        <f t="shared" si="13"/>
        <v>3.7136875029611986E-2</v>
      </c>
      <c r="AI12" s="40">
        <f t="shared" si="14"/>
        <v>3.0534763913236528E-2</v>
      </c>
      <c r="AJ12" s="41">
        <f t="shared" si="15"/>
        <v>9.25092875795053E-2</v>
      </c>
      <c r="AK12" s="42"/>
      <c r="AL12" s="48">
        <f t="shared" si="16"/>
        <v>4.857085140353825E-2</v>
      </c>
      <c r="AM12" s="6">
        <f t="shared" si="17"/>
        <v>4.4145626245473031E-2</v>
      </c>
      <c r="AN12" s="41">
        <f t="shared" si="18"/>
        <v>7.3078039765863689E-2</v>
      </c>
      <c r="AO12" s="36"/>
      <c r="AP12" s="48">
        <f t="shared" si="19"/>
        <v>0.97956233445270036</v>
      </c>
      <c r="AQ12" s="6">
        <f t="shared" si="20"/>
        <v>0.90281040205508056</v>
      </c>
      <c r="AR12" s="6">
        <f t="shared" si="21"/>
        <v>-7.2636238454504384E-2</v>
      </c>
      <c r="AS12" s="6">
        <f t="shared" si="22"/>
        <v>0.19881242371605196</v>
      </c>
      <c r="AT12" s="6">
        <f t="shared" si="23"/>
        <v>0.15503581448298109</v>
      </c>
      <c r="AU12" s="69">
        <v>1.71</v>
      </c>
      <c r="AV12" s="70">
        <v>1.3</v>
      </c>
      <c r="AW12" s="36"/>
      <c r="AX12" s="48">
        <f t="shared" si="24"/>
        <v>0.14305889608931116</v>
      </c>
      <c r="AY12" s="6">
        <v>0.10730000000000001</v>
      </c>
      <c r="AZ12" s="6">
        <f t="shared" si="25"/>
        <v>0.22289999999999999</v>
      </c>
      <c r="BA12" s="6">
        <f t="shared" si="26"/>
        <v>0.22289999999999999</v>
      </c>
      <c r="BB12" s="41">
        <f t="shared" si="27"/>
        <v>0.23569999999999999</v>
      </c>
      <c r="BC12" s="6"/>
      <c r="BD12" s="48">
        <v>0.2167</v>
      </c>
      <c r="BE12" s="6">
        <v>0.22030000000000002</v>
      </c>
      <c r="BF12" s="41">
        <v>0.2346</v>
      </c>
      <c r="BG12" s="6"/>
      <c r="BH12" s="48"/>
      <c r="BI12" s="41">
        <v>2.5000000000000001E-2</v>
      </c>
      <c r="BJ12" s="48"/>
      <c r="BK12" s="41"/>
      <c r="BL12" s="63"/>
      <c r="BM12" s="6"/>
      <c r="BN12" s="48"/>
      <c r="BO12" s="41">
        <f>BD12-(4.5%+2.5%+3%+2.5%+BI12)</f>
        <v>6.6700000000000009E-2</v>
      </c>
      <c r="BP12" s="6"/>
      <c r="BQ12" s="48"/>
      <c r="BR12" s="41">
        <f>BE12-(6%+2.5%+3%+2.5%+BI12)</f>
        <v>5.5300000000000044E-2</v>
      </c>
      <c r="BS12" s="6"/>
      <c r="BT12" s="48"/>
      <c r="BU12" s="41">
        <f>BF12-(8%+2.5%+3%+2.5%+BI12)</f>
        <v>4.9600000000000005E-2</v>
      </c>
      <c r="BV12" s="36"/>
      <c r="BW12" s="39">
        <f t="shared" si="28"/>
        <v>3.2677325030872231E-5</v>
      </c>
      <c r="BX12" s="6">
        <f t="shared" si="29"/>
        <v>1.3994910941475824E-3</v>
      </c>
      <c r="BY12" s="40">
        <f t="shared" si="30"/>
        <v>8.2503212202014869E-3</v>
      </c>
      <c r="BZ12" s="6">
        <f t="shared" si="31"/>
        <v>4.4218983160392314E-2</v>
      </c>
      <c r="CA12" s="6">
        <f t="shared" si="32"/>
        <v>0.71992242350767621</v>
      </c>
      <c r="CB12" s="41">
        <f t="shared" si="33"/>
        <v>0.78688534041811686</v>
      </c>
      <c r="CC12" s="36"/>
      <c r="CD12" s="35">
        <v>7.0540000000000003</v>
      </c>
      <c r="CE12" s="36">
        <v>153.14400000000001</v>
      </c>
      <c r="CF12" s="37">
        <f t="shared" si="34"/>
        <v>160.19800000000001</v>
      </c>
      <c r="CG12" s="33">
        <f t="shared" si="35"/>
        <v>6202.91</v>
      </c>
      <c r="CH12" s="36">
        <v>7.17</v>
      </c>
      <c r="CI12" s="36">
        <v>14.521000000000001</v>
      </c>
      <c r="CJ12" s="37">
        <f t="shared" si="36"/>
        <v>6181.2190000000001</v>
      </c>
      <c r="CK12" s="36">
        <v>1061.684</v>
      </c>
      <c r="CL12" s="36">
        <v>405.00799999999998</v>
      </c>
      <c r="CM12" s="37">
        <f t="shared" si="37"/>
        <v>1466.692</v>
      </c>
      <c r="CN12" s="36">
        <v>13.148999999999999</v>
      </c>
      <c r="CO12" s="36">
        <v>0</v>
      </c>
      <c r="CP12" s="36">
        <v>113.69199999999999</v>
      </c>
      <c r="CQ12" s="36">
        <v>3.3189999999998605</v>
      </c>
      <c r="CR12" s="37">
        <f t="shared" si="38"/>
        <v>7938.2690000000002</v>
      </c>
      <c r="CS12" s="36">
        <v>100.80800000000001</v>
      </c>
      <c r="CT12" s="33">
        <v>6076.1369999999997</v>
      </c>
      <c r="CU12" s="37">
        <f t="shared" si="39"/>
        <v>6176.9449999999997</v>
      </c>
      <c r="CV12" s="36">
        <v>502.90800000000002</v>
      </c>
      <c r="CW12" s="36">
        <v>72.382000000000517</v>
      </c>
      <c r="CX12" s="37">
        <f t="shared" si="40"/>
        <v>575.29000000000053</v>
      </c>
      <c r="CY12" s="36">
        <v>50.393999999999998</v>
      </c>
      <c r="CZ12" s="36">
        <v>1135.6400000000001</v>
      </c>
      <c r="DA12" s="71">
        <f t="shared" si="41"/>
        <v>7938.2690000000011</v>
      </c>
      <c r="DB12" s="36"/>
      <c r="DC12" s="72">
        <v>1230.7160000000001</v>
      </c>
      <c r="DD12" s="36"/>
      <c r="DE12" s="32">
        <v>100</v>
      </c>
      <c r="DF12" s="33">
        <v>225</v>
      </c>
      <c r="DG12" s="33">
        <v>150</v>
      </c>
      <c r="DH12" s="33">
        <v>100</v>
      </c>
      <c r="DI12" s="33">
        <v>50</v>
      </c>
      <c r="DJ12" s="33">
        <v>0</v>
      </c>
      <c r="DK12" s="34">
        <f t="shared" si="42"/>
        <v>625</v>
      </c>
      <c r="DL12" s="63">
        <f t="shared" si="43"/>
        <v>7.8732529724049413E-2</v>
      </c>
      <c r="DM12" s="63">
        <f t="shared" si="44"/>
        <v>0.20149361277628661</v>
      </c>
      <c r="DN12" s="36"/>
      <c r="DO12" s="65" t="s">
        <v>162</v>
      </c>
      <c r="DP12" s="59">
        <v>51</v>
      </c>
      <c r="DQ12" s="59">
        <v>17301</v>
      </c>
      <c r="DR12" s="73">
        <v>2</v>
      </c>
      <c r="DS12" s="59" t="s">
        <v>163</v>
      </c>
      <c r="DT12" s="75" t="s">
        <v>164</v>
      </c>
      <c r="DU12" s="59"/>
      <c r="DV12" s="63" t="s">
        <v>172</v>
      </c>
      <c r="DW12" s="64"/>
      <c r="DX12" s="32">
        <v>867.61328519999995</v>
      </c>
      <c r="DY12" s="33">
        <v>867.61328519999995</v>
      </c>
      <c r="DZ12" s="34">
        <v>917.43585159999998</v>
      </c>
      <c r="EA12" s="33"/>
      <c r="EB12" s="65">
        <f t="shared" si="45"/>
        <v>3809.6904999999997</v>
      </c>
      <c r="EC12" s="33">
        <v>3726.9929999999999</v>
      </c>
      <c r="ED12" s="34">
        <v>3892.3879999999999</v>
      </c>
      <c r="EE12" s="33"/>
      <c r="EF12" s="32">
        <v>495.71499999999997</v>
      </c>
      <c r="EG12" s="33">
        <v>27.66</v>
      </c>
      <c r="EH12" s="33">
        <v>396.13499999999999</v>
      </c>
      <c r="EI12" s="33">
        <v>38.670999999999999</v>
      </c>
      <c r="EJ12" s="33">
        <v>613.09900000000005</v>
      </c>
      <c r="EK12" s="33">
        <v>38.981999999999999</v>
      </c>
      <c r="EL12" s="33">
        <v>96.474999999999454</v>
      </c>
      <c r="EM12" s="34">
        <v>4285.1289999999999</v>
      </c>
      <c r="EN12" s="34">
        <f t="shared" si="46"/>
        <v>5991.866</v>
      </c>
      <c r="EO12" s="59"/>
      <c r="EP12" s="48">
        <f t="shared" si="47"/>
        <v>8.2731322763226006E-2</v>
      </c>
      <c r="EQ12" s="6">
        <f t="shared" si="47"/>
        <v>4.6162581072407161E-3</v>
      </c>
      <c r="ER12" s="6">
        <f t="shared" si="47"/>
        <v>6.6112126005488103E-2</v>
      </c>
      <c r="ES12" s="6">
        <f t="shared" si="47"/>
        <v>6.4539160254918921E-3</v>
      </c>
      <c r="ET12" s="6">
        <f t="shared" si="47"/>
        <v>0.10232188103004974</v>
      </c>
      <c r="EU12" s="6">
        <f t="shared" si="47"/>
        <v>6.5058197229377291E-3</v>
      </c>
      <c r="EV12" s="6">
        <f t="shared" si="47"/>
        <v>1.6100994247868605E-2</v>
      </c>
      <c r="EW12" s="6">
        <f t="shared" si="47"/>
        <v>0.71515768209769714</v>
      </c>
      <c r="EX12" s="63">
        <f t="shared" si="48"/>
        <v>1</v>
      </c>
      <c r="EY12" s="59"/>
      <c r="EZ12" s="35">
        <v>1.7549999999999999</v>
      </c>
      <c r="FA12" s="36">
        <v>49.420999999999999</v>
      </c>
      <c r="FB12" s="71">
        <f t="shared" si="49"/>
        <v>51.176000000000002</v>
      </c>
      <c r="FD12" s="35">
        <f t="shared" si="50"/>
        <v>7.17</v>
      </c>
      <c r="FE12" s="36">
        <f t="shared" si="50"/>
        <v>14.521000000000001</v>
      </c>
      <c r="FF12" s="71">
        <f t="shared" si="51"/>
        <v>21.691000000000003</v>
      </c>
      <c r="FH12" s="32">
        <f t="shared" si="52"/>
        <v>4465.6139999999996</v>
      </c>
      <c r="FI12" s="33">
        <f t="shared" si="53"/>
        <v>1737.296</v>
      </c>
      <c r="FJ12" s="34">
        <f t="shared" si="54"/>
        <v>6202.91</v>
      </c>
      <c r="FL12" s="48">
        <v>0.71992242350767621</v>
      </c>
      <c r="FM12" s="6">
        <v>0.28007757649232379</v>
      </c>
      <c r="FN12" s="41">
        <f t="shared" si="55"/>
        <v>1</v>
      </c>
      <c r="FO12" s="59"/>
      <c r="FP12" s="65">
        <f t="shared" si="56"/>
        <v>1070.9195</v>
      </c>
      <c r="FQ12" s="33">
        <v>1006.199</v>
      </c>
      <c r="FR12" s="34">
        <f t="shared" si="57"/>
        <v>1135.6400000000001</v>
      </c>
      <c r="FT12" s="65">
        <f t="shared" si="58"/>
        <v>6059.2474999999995</v>
      </c>
      <c r="FU12" s="33">
        <v>5915.585</v>
      </c>
      <c r="FV12" s="34">
        <f t="shared" si="59"/>
        <v>6202.91</v>
      </c>
      <c r="FX12" s="65">
        <f t="shared" si="60"/>
        <v>1920.355</v>
      </c>
      <c r="FY12" s="33">
        <v>1891.6890000000001</v>
      </c>
      <c r="FZ12" s="34">
        <f t="shared" si="61"/>
        <v>1949.021</v>
      </c>
      <c r="GB12" s="65">
        <f t="shared" si="62"/>
        <v>7979.6025</v>
      </c>
      <c r="GC12" s="59">
        <f t="shared" si="63"/>
        <v>7807.2740000000003</v>
      </c>
      <c r="GD12" s="73">
        <f t="shared" si="63"/>
        <v>8151.9309999999996</v>
      </c>
      <c r="GF12" s="65">
        <f t="shared" si="64"/>
        <v>5869.2404999999999</v>
      </c>
      <c r="GG12" s="33">
        <v>5662.3440000000001</v>
      </c>
      <c r="GH12" s="34">
        <f t="shared" si="65"/>
        <v>6076.1369999999997</v>
      </c>
      <c r="GI12" s="33"/>
      <c r="GJ12" s="65">
        <f t="shared" si="66"/>
        <v>7719.9004999999997</v>
      </c>
      <c r="GK12" s="33">
        <v>7501.5320000000002</v>
      </c>
      <c r="GL12" s="34">
        <f t="shared" si="67"/>
        <v>7938.2690000000002</v>
      </c>
      <c r="GM12" s="33"/>
      <c r="GN12" s="76">
        <f t="shared" si="68"/>
        <v>0.49033208625205316</v>
      </c>
      <c r="GO12" s="67"/>
    </row>
    <row r="13" spans="2:198" s="1" customFormat="1" x14ac:dyDescent="0.2">
      <c r="B13" s="77" t="s">
        <v>180</v>
      </c>
      <c r="C13" s="32">
        <v>2070.4299999999998</v>
      </c>
      <c r="D13" s="33">
        <v>2077.4794999999999</v>
      </c>
      <c r="E13" s="33">
        <v>1686.8489999999999</v>
      </c>
      <c r="F13" s="33">
        <v>84.841999999999999</v>
      </c>
      <c r="G13" s="33">
        <v>1802.2149999999999</v>
      </c>
      <c r="H13" s="33">
        <v>2155.2719999999999</v>
      </c>
      <c r="I13" s="34">
        <v>1771.691</v>
      </c>
      <c r="J13" s="33"/>
      <c r="K13" s="35">
        <v>28.584</v>
      </c>
      <c r="L13" s="36">
        <v>4.9089999999999998</v>
      </c>
      <c r="M13" s="36">
        <v>0.28100000000000003</v>
      </c>
      <c r="N13" s="37">
        <f t="shared" si="0"/>
        <v>33.774000000000001</v>
      </c>
      <c r="O13" s="36">
        <v>17.083000000000002</v>
      </c>
      <c r="P13" s="37">
        <f t="shared" si="1"/>
        <v>16.690999999999999</v>
      </c>
      <c r="Q13" s="36">
        <v>2.1040000000000001</v>
      </c>
      <c r="R13" s="37">
        <f t="shared" si="2"/>
        <v>14.587</v>
      </c>
      <c r="S13" s="36">
        <v>3.0619999999999998</v>
      </c>
      <c r="T13" s="36">
        <v>-0.19</v>
      </c>
      <c r="U13" s="36">
        <v>-1</v>
      </c>
      <c r="V13" s="37">
        <f t="shared" si="3"/>
        <v>16.459</v>
      </c>
      <c r="W13" s="36">
        <v>4.5</v>
      </c>
      <c r="X13" s="38">
        <f t="shared" si="4"/>
        <v>11.959</v>
      </c>
      <c r="Y13" s="36"/>
      <c r="Z13" s="39">
        <f t="shared" si="5"/>
        <v>2.751796106772654E-2</v>
      </c>
      <c r="AA13" s="40">
        <f t="shared" si="6"/>
        <v>4.7259190764577944E-3</v>
      </c>
      <c r="AB13" s="6">
        <f t="shared" si="7"/>
        <v>0.46616274627517335</v>
      </c>
      <c r="AC13" s="6">
        <f t="shared" si="8"/>
        <v>0.46375827994353358</v>
      </c>
      <c r="AD13" s="6">
        <f t="shared" si="9"/>
        <v>0.50580328063007052</v>
      </c>
      <c r="AE13" s="40">
        <f t="shared" si="10"/>
        <v>1.644589032045804E-2</v>
      </c>
      <c r="AF13" s="40">
        <f t="shared" si="11"/>
        <v>1.1512989658863059E-2</v>
      </c>
      <c r="AG13" s="40">
        <f t="shared" si="12"/>
        <v>2.5994407257306375E-2</v>
      </c>
      <c r="AH13" s="40">
        <f t="shared" si="13"/>
        <v>4.2522668214289204E-2</v>
      </c>
      <c r="AI13" s="40">
        <f t="shared" si="14"/>
        <v>3.1706699444964306E-2</v>
      </c>
      <c r="AJ13" s="41">
        <f t="shared" si="15"/>
        <v>0.11491386744883814</v>
      </c>
      <c r="AK13" s="42"/>
      <c r="AL13" s="48">
        <f t="shared" si="16"/>
        <v>6.0471428139407835E-5</v>
      </c>
      <c r="AM13" s="6">
        <f t="shared" si="17"/>
        <v>-1.0390477983212854E-2</v>
      </c>
      <c r="AN13" s="41">
        <f t="shared" si="18"/>
        <v>-3.3499563732348921E-2</v>
      </c>
      <c r="AO13" s="36"/>
      <c r="AP13" s="48">
        <f t="shared" si="19"/>
        <v>1.0683914209274215</v>
      </c>
      <c r="AQ13" s="6">
        <f t="shared" si="20"/>
        <v>0.98698020634297357</v>
      </c>
      <c r="AR13" s="6">
        <f t="shared" si="21"/>
        <v>-0.14696125925532377</v>
      </c>
      <c r="AS13" s="6">
        <f t="shared" si="22"/>
        <v>2.2266389107576688E-2</v>
      </c>
      <c r="AT13" s="6">
        <f t="shared" si="23"/>
        <v>0.15844389812744214</v>
      </c>
      <c r="AU13" s="69">
        <v>2.35</v>
      </c>
      <c r="AV13" s="70">
        <v>1.43</v>
      </c>
      <c r="AW13" s="36"/>
      <c r="AX13" s="48">
        <f t="shared" si="24"/>
        <v>0.1082514260322735</v>
      </c>
      <c r="AY13" s="6">
        <v>8.929999999999999E-2</v>
      </c>
      <c r="AZ13" s="6">
        <f t="shared" si="25"/>
        <v>0.2</v>
      </c>
      <c r="BA13" s="6">
        <f t="shared" si="26"/>
        <v>0.2</v>
      </c>
      <c r="BB13" s="41">
        <f t="shared" si="27"/>
        <v>0.22170000000000001</v>
      </c>
      <c r="BC13" s="6"/>
      <c r="BD13" s="48">
        <v>0.20519999999999999</v>
      </c>
      <c r="BE13" s="6">
        <v>0.20660000000000001</v>
      </c>
      <c r="BF13" s="41">
        <v>0.2281</v>
      </c>
      <c r="BG13" s="6"/>
      <c r="BH13" s="48"/>
      <c r="BI13" s="41">
        <v>2.8000000000000001E-2</v>
      </c>
      <c r="BJ13" s="48"/>
      <c r="BK13" s="41"/>
      <c r="BL13" s="63"/>
      <c r="BM13" s="6"/>
      <c r="BN13" s="48"/>
      <c r="BO13" s="41">
        <f>BD13-(4.5%+2.5%+3%+2.5%+BI13)</f>
        <v>5.2199999999999996E-2</v>
      </c>
      <c r="BP13" s="6"/>
      <c r="BQ13" s="48"/>
      <c r="BR13" s="41">
        <f>BE13-(6%+2.5%+3%+2.5%+BI13)</f>
        <v>3.8600000000000023E-2</v>
      </c>
      <c r="BS13" s="6"/>
      <c r="BT13" s="48"/>
      <c r="BU13" s="41">
        <f>BF13-(8%+2.5%+3%+2.5%+BI13)</f>
        <v>4.0099999999999997E-2</v>
      </c>
      <c r="BV13" s="36"/>
      <c r="BW13" s="39">
        <f t="shared" si="28"/>
        <v>2.4946674112727193E-3</v>
      </c>
      <c r="BX13" s="6">
        <f t="shared" si="29"/>
        <v>0.10754996677401217</v>
      </c>
      <c r="BY13" s="40">
        <f t="shared" si="30"/>
        <v>2.436614065633616E-2</v>
      </c>
      <c r="BZ13" s="6">
        <f t="shared" si="31"/>
        <v>0.17597896918163056</v>
      </c>
      <c r="CA13" s="6">
        <f t="shared" si="32"/>
        <v>0.84873334839099412</v>
      </c>
      <c r="CB13" s="41">
        <f t="shared" si="33"/>
        <v>0.85597714274103098</v>
      </c>
      <c r="CC13" s="36"/>
      <c r="CD13" s="35">
        <v>74.881</v>
      </c>
      <c r="CE13" s="36">
        <v>153.38200000000001</v>
      </c>
      <c r="CF13" s="37">
        <f t="shared" si="34"/>
        <v>228.26300000000001</v>
      </c>
      <c r="CG13" s="33">
        <f t="shared" si="35"/>
        <v>1686.8489999999999</v>
      </c>
      <c r="CH13" s="36">
        <v>7.9960000000000004</v>
      </c>
      <c r="CI13" s="36">
        <v>1.4390000000000001</v>
      </c>
      <c r="CJ13" s="37">
        <f t="shared" si="36"/>
        <v>1677.4139999999998</v>
      </c>
      <c r="CK13" s="36">
        <v>99.784000000000006</v>
      </c>
      <c r="CL13" s="36">
        <v>48.631999999999998</v>
      </c>
      <c r="CM13" s="37">
        <f t="shared" si="37"/>
        <v>148.416</v>
      </c>
      <c r="CN13" s="36">
        <v>0</v>
      </c>
      <c r="CO13" s="36">
        <v>0</v>
      </c>
      <c r="CP13" s="36">
        <v>16.05</v>
      </c>
      <c r="CQ13" s="36">
        <v>0.28700000000015891</v>
      </c>
      <c r="CR13" s="37">
        <f t="shared" si="38"/>
        <v>2070.4300000000003</v>
      </c>
      <c r="CS13" s="36">
        <v>3.68</v>
      </c>
      <c r="CT13" s="33">
        <v>1802.2149999999999</v>
      </c>
      <c r="CU13" s="37">
        <f t="shared" si="39"/>
        <v>1805.895</v>
      </c>
      <c r="CV13" s="36">
        <v>0</v>
      </c>
      <c r="CW13" s="36">
        <v>20.313999999999851</v>
      </c>
      <c r="CX13" s="37">
        <f t="shared" si="40"/>
        <v>20.313999999999851</v>
      </c>
      <c r="CY13" s="36">
        <v>20.094000000000001</v>
      </c>
      <c r="CZ13" s="36">
        <v>224.12700000000001</v>
      </c>
      <c r="DA13" s="71">
        <f t="shared" si="41"/>
        <v>2070.4299999999998</v>
      </c>
      <c r="DB13" s="36"/>
      <c r="DC13" s="72">
        <v>328.04700000000003</v>
      </c>
      <c r="DD13" s="36"/>
      <c r="DE13" s="32">
        <v>0</v>
      </c>
      <c r="DF13" s="33">
        <v>0</v>
      </c>
      <c r="DG13" s="33">
        <v>0</v>
      </c>
      <c r="DH13" s="33">
        <v>0</v>
      </c>
      <c r="DI13" s="33">
        <v>20</v>
      </c>
      <c r="DJ13" s="33">
        <v>0</v>
      </c>
      <c r="DK13" s="34">
        <f t="shared" si="42"/>
        <v>20</v>
      </c>
      <c r="DL13" s="63">
        <f t="shared" si="43"/>
        <v>9.6598291176229097E-3</v>
      </c>
      <c r="DM13" s="63">
        <f t="shared" si="44"/>
        <v>3.0148809667556984E-2</v>
      </c>
      <c r="DN13" s="36"/>
      <c r="DO13" s="65" t="s">
        <v>162</v>
      </c>
      <c r="DP13" s="59">
        <v>17</v>
      </c>
      <c r="DQ13" s="59">
        <v>6420</v>
      </c>
      <c r="DR13" s="73">
        <v>2</v>
      </c>
      <c r="DS13" s="59" t="s">
        <v>163</v>
      </c>
      <c r="DT13" s="65"/>
      <c r="DU13" s="59"/>
      <c r="DV13" s="63" t="s">
        <v>172</v>
      </c>
      <c r="DW13" s="64"/>
      <c r="DX13" s="32">
        <v>184.56640000000002</v>
      </c>
      <c r="DY13" s="33">
        <v>184.56640000000002</v>
      </c>
      <c r="DZ13" s="34">
        <v>204.59185440000002</v>
      </c>
      <c r="EA13" s="33"/>
      <c r="EB13" s="65">
        <f t="shared" si="45"/>
        <v>920.12099999999998</v>
      </c>
      <c r="EC13" s="33">
        <v>917.41</v>
      </c>
      <c r="ED13" s="34">
        <v>922.83199999999999</v>
      </c>
      <c r="EE13" s="33"/>
      <c r="EF13" s="32">
        <v>99.786000000000001</v>
      </c>
      <c r="EG13" s="33">
        <v>8.4909999999999997</v>
      </c>
      <c r="EH13" s="33">
        <v>29.001000000000001</v>
      </c>
      <c r="EI13" s="33">
        <v>11.019</v>
      </c>
      <c r="EJ13" s="33">
        <v>63.378999999999998</v>
      </c>
      <c r="EK13" s="33">
        <v>6.5449999999999999</v>
      </c>
      <c r="EL13" s="33">
        <v>46.071000000000026</v>
      </c>
      <c r="EM13" s="34">
        <v>1442.6279999999999</v>
      </c>
      <c r="EN13" s="34">
        <f t="shared" si="46"/>
        <v>1706.92</v>
      </c>
      <c r="EO13" s="59"/>
      <c r="EP13" s="48">
        <f t="shared" si="47"/>
        <v>5.8459681765987863E-2</v>
      </c>
      <c r="EQ13" s="6">
        <f t="shared" si="47"/>
        <v>4.9744569165514488E-3</v>
      </c>
      <c r="ER13" s="6">
        <f t="shared" si="47"/>
        <v>1.6990251447050828E-2</v>
      </c>
      <c r="ES13" s="6">
        <f t="shared" si="47"/>
        <v>6.4554870761371359E-3</v>
      </c>
      <c r="ET13" s="6">
        <f t="shared" si="47"/>
        <v>3.7130621235910294E-2</v>
      </c>
      <c r="EU13" s="6">
        <f t="shared" si="47"/>
        <v>3.8343917699716445E-3</v>
      </c>
      <c r="EV13" s="6">
        <f t="shared" si="47"/>
        <v>2.6990720127481091E-2</v>
      </c>
      <c r="EW13" s="6">
        <f t="shared" si="47"/>
        <v>0.84516438966090968</v>
      </c>
      <c r="EX13" s="63">
        <f t="shared" si="48"/>
        <v>1</v>
      </c>
      <c r="EY13" s="59"/>
      <c r="EZ13" s="35">
        <v>11.82</v>
      </c>
      <c r="FA13" s="36">
        <v>29.281999999999996</v>
      </c>
      <c r="FB13" s="71">
        <f t="shared" si="49"/>
        <v>41.101999999999997</v>
      </c>
      <c r="FD13" s="35">
        <f t="shared" si="50"/>
        <v>7.9960000000000004</v>
      </c>
      <c r="FE13" s="36">
        <f t="shared" si="50"/>
        <v>1.4390000000000001</v>
      </c>
      <c r="FF13" s="71">
        <f t="shared" si="51"/>
        <v>9.4350000000000005</v>
      </c>
      <c r="FH13" s="32">
        <f t="shared" si="52"/>
        <v>1431.6849999999999</v>
      </c>
      <c r="FI13" s="33">
        <f t="shared" si="53"/>
        <v>255.16399999999993</v>
      </c>
      <c r="FJ13" s="34">
        <f t="shared" si="54"/>
        <v>1686.8489999999999</v>
      </c>
      <c r="FL13" s="48">
        <v>0.84873334839099412</v>
      </c>
      <c r="FM13" s="6">
        <v>0.15126665160900588</v>
      </c>
      <c r="FN13" s="41">
        <f t="shared" si="55"/>
        <v>1</v>
      </c>
      <c r="FO13" s="59"/>
      <c r="FP13" s="65">
        <f t="shared" si="56"/>
        <v>208.13850000000002</v>
      </c>
      <c r="FQ13" s="33">
        <v>192.15</v>
      </c>
      <c r="FR13" s="34">
        <f t="shared" si="57"/>
        <v>224.12700000000001</v>
      </c>
      <c r="FT13" s="65">
        <f t="shared" si="58"/>
        <v>1686.798</v>
      </c>
      <c r="FU13" s="33">
        <v>1686.7470000000001</v>
      </c>
      <c r="FV13" s="34">
        <f t="shared" si="59"/>
        <v>1686.8489999999999</v>
      </c>
      <c r="FX13" s="65">
        <f t="shared" si="60"/>
        <v>94.194000000000003</v>
      </c>
      <c r="FY13" s="33">
        <v>103.54600000000001</v>
      </c>
      <c r="FZ13" s="34">
        <f t="shared" si="61"/>
        <v>84.841999999999999</v>
      </c>
      <c r="GB13" s="65">
        <f t="shared" si="62"/>
        <v>1780.9920000000002</v>
      </c>
      <c r="GC13" s="59">
        <f t="shared" si="63"/>
        <v>1790.2930000000001</v>
      </c>
      <c r="GD13" s="73">
        <f t="shared" si="63"/>
        <v>1771.691</v>
      </c>
      <c r="GF13" s="65">
        <f t="shared" si="64"/>
        <v>1833.4479999999999</v>
      </c>
      <c r="GG13" s="33">
        <v>1864.681</v>
      </c>
      <c r="GH13" s="34">
        <f t="shared" si="65"/>
        <v>1802.2149999999999</v>
      </c>
      <c r="GI13" s="33"/>
      <c r="GJ13" s="65">
        <f t="shared" si="66"/>
        <v>2077.4794999999999</v>
      </c>
      <c r="GK13" s="33">
        <v>2084.529</v>
      </c>
      <c r="GL13" s="34">
        <f t="shared" si="67"/>
        <v>2070.4299999999998</v>
      </c>
      <c r="GM13" s="33"/>
      <c r="GN13" s="76">
        <f t="shared" si="68"/>
        <v>0.44571997121370927</v>
      </c>
      <c r="GO13" s="67"/>
    </row>
    <row r="14" spans="2:198" s="1" customFormat="1" x14ac:dyDescent="0.2">
      <c r="B14" s="77" t="s">
        <v>181</v>
      </c>
      <c r="C14" s="32">
        <v>2456.8359999999998</v>
      </c>
      <c r="D14" s="33">
        <v>2389.6224999999999</v>
      </c>
      <c r="E14" s="33">
        <v>2029.26</v>
      </c>
      <c r="F14" s="33">
        <v>788.81600000000003</v>
      </c>
      <c r="G14" s="33">
        <v>1719.2339999999999</v>
      </c>
      <c r="H14" s="33">
        <v>3245.652</v>
      </c>
      <c r="I14" s="34">
        <v>2818.076</v>
      </c>
      <c r="J14" s="33"/>
      <c r="K14" s="35">
        <v>26.827999999999999</v>
      </c>
      <c r="L14" s="36">
        <v>5.0330000000000004</v>
      </c>
      <c r="M14" s="36">
        <v>4.0000000000000001E-3</v>
      </c>
      <c r="N14" s="37">
        <f t="shared" si="0"/>
        <v>31.865000000000002</v>
      </c>
      <c r="O14" s="36">
        <v>18.052999999999997</v>
      </c>
      <c r="P14" s="37">
        <f t="shared" si="1"/>
        <v>13.812000000000005</v>
      </c>
      <c r="Q14" s="36">
        <v>0.52800000000000002</v>
      </c>
      <c r="R14" s="37">
        <f t="shared" si="2"/>
        <v>13.284000000000004</v>
      </c>
      <c r="S14" s="36">
        <v>3.3439999999999999</v>
      </c>
      <c r="T14" s="36">
        <v>-0.54100000000000004</v>
      </c>
      <c r="U14" s="36">
        <v>-2.6829999999999998</v>
      </c>
      <c r="V14" s="37">
        <f t="shared" si="3"/>
        <v>13.404000000000003</v>
      </c>
      <c r="W14" s="36">
        <v>3.6680000000000001</v>
      </c>
      <c r="X14" s="38">
        <f t="shared" si="4"/>
        <v>9.7360000000000042</v>
      </c>
      <c r="Y14" s="36"/>
      <c r="Z14" s="39">
        <f t="shared" si="5"/>
        <v>2.245375577104752E-2</v>
      </c>
      <c r="AA14" s="40">
        <f t="shared" si="6"/>
        <v>4.2123808258417387E-3</v>
      </c>
      <c r="AB14" s="6">
        <f t="shared" si="7"/>
        <v>0.52073958693896372</v>
      </c>
      <c r="AC14" s="6">
        <f t="shared" si="8"/>
        <v>0.51273822034138983</v>
      </c>
      <c r="AD14" s="6">
        <f t="shared" si="9"/>
        <v>0.56654636748783915</v>
      </c>
      <c r="AE14" s="40">
        <f t="shared" si="10"/>
        <v>1.510949951299839E-2</v>
      </c>
      <c r="AF14" s="40">
        <f t="shared" si="11"/>
        <v>8.1485673992440274E-3</v>
      </c>
      <c r="AG14" s="40">
        <f t="shared" si="12"/>
        <v>1.601384928214418E-2</v>
      </c>
      <c r="AH14" s="40">
        <f t="shared" si="13"/>
        <v>2.7328482520832528E-2</v>
      </c>
      <c r="AI14" s="40">
        <f t="shared" si="14"/>
        <v>2.1849627553821204E-2</v>
      </c>
      <c r="AJ14" s="41">
        <f t="shared" si="15"/>
        <v>6.2798317810057042E-2</v>
      </c>
      <c r="AK14" s="42"/>
      <c r="AL14" s="48">
        <f t="shared" si="16"/>
        <v>7.748394866120252E-2</v>
      </c>
      <c r="AM14" s="6">
        <f t="shared" si="17"/>
        <v>9.4437123797384642E-2</v>
      </c>
      <c r="AN14" s="41">
        <f t="shared" si="18"/>
        <v>1.7224190192074704E-2</v>
      </c>
      <c r="AO14" s="36"/>
      <c r="AP14" s="48">
        <f t="shared" si="19"/>
        <v>0.84722214009047625</v>
      </c>
      <c r="AQ14" s="6">
        <f t="shared" si="20"/>
        <v>0.81026994010756892</v>
      </c>
      <c r="AR14" s="6">
        <f t="shared" si="21"/>
        <v>4.1354408678479185E-2</v>
      </c>
      <c r="AS14" s="6">
        <f t="shared" si="22"/>
        <v>0.3120533889929975</v>
      </c>
      <c r="AT14" s="6">
        <f t="shared" si="23"/>
        <v>0.12250268231172126</v>
      </c>
      <c r="AU14" s="69">
        <v>2.0541999999999998</v>
      </c>
      <c r="AV14" s="70">
        <v>1.34</v>
      </c>
      <c r="AW14" s="36"/>
      <c r="AX14" s="48">
        <f t="shared" si="24"/>
        <v>0.13100833755285254</v>
      </c>
      <c r="AY14" s="6">
        <v>9.8900000000000002E-2</v>
      </c>
      <c r="AZ14" s="6">
        <f t="shared" si="25"/>
        <v>0.1943</v>
      </c>
      <c r="BA14" s="6">
        <f t="shared" si="26"/>
        <v>0.1943</v>
      </c>
      <c r="BB14" s="41">
        <f t="shared" si="27"/>
        <v>0.21820000000000001</v>
      </c>
      <c r="BC14" s="6"/>
      <c r="BD14" s="48">
        <v>0.19030000000000002</v>
      </c>
      <c r="BE14" s="6">
        <v>0.1943</v>
      </c>
      <c r="BF14" s="41">
        <v>0.2175</v>
      </c>
      <c r="BG14" s="6"/>
      <c r="BH14" s="48"/>
      <c r="BI14" s="41"/>
      <c r="BJ14" s="48"/>
      <c r="BK14" s="41"/>
      <c r="BL14" s="63"/>
      <c r="BM14" s="6"/>
      <c r="BN14" s="48"/>
      <c r="BO14" s="41"/>
      <c r="BP14" s="6"/>
      <c r="BQ14" s="48"/>
      <c r="BR14" s="41"/>
      <c r="BS14" s="6"/>
      <c r="BT14" s="48"/>
      <c r="BU14" s="41"/>
      <c r="BV14" s="36"/>
      <c r="BW14" s="39">
        <f t="shared" si="28"/>
        <v>5.3979561375170216E-4</v>
      </c>
      <c r="BX14" s="6">
        <f t="shared" si="29"/>
        <v>3.1778513391513684E-2</v>
      </c>
      <c r="BY14" s="40">
        <f t="shared" si="30"/>
        <v>1.3835092595330317E-2</v>
      </c>
      <c r="BZ14" s="6">
        <f t="shared" si="31"/>
        <v>8.3795714554338124E-2</v>
      </c>
      <c r="CA14" s="6">
        <f t="shared" si="32"/>
        <v>0.77669347446852555</v>
      </c>
      <c r="CB14" s="41">
        <f t="shared" si="33"/>
        <v>0.83919986544010883</v>
      </c>
      <c r="CC14" s="36"/>
      <c r="CD14" s="35">
        <v>67.436000000000007</v>
      </c>
      <c r="CE14" s="36">
        <v>29.007999999999999</v>
      </c>
      <c r="CF14" s="37">
        <f t="shared" si="34"/>
        <v>96.444000000000003</v>
      </c>
      <c r="CG14" s="33">
        <f t="shared" si="35"/>
        <v>2029.26</v>
      </c>
      <c r="CH14" s="36">
        <v>4.7249999999999996</v>
      </c>
      <c r="CI14" s="36">
        <v>8.4499999999999993</v>
      </c>
      <c r="CJ14" s="37">
        <f t="shared" si="36"/>
        <v>2016.085</v>
      </c>
      <c r="CK14" s="36">
        <v>204.52500000000001</v>
      </c>
      <c r="CL14" s="36">
        <v>128.19999999999999</v>
      </c>
      <c r="CM14" s="37">
        <f t="shared" si="37"/>
        <v>332.72500000000002</v>
      </c>
      <c r="CN14" s="36">
        <v>0</v>
      </c>
      <c r="CO14" s="36">
        <v>0</v>
      </c>
      <c r="CP14" s="36">
        <v>9.3629999999999995</v>
      </c>
      <c r="CQ14" s="36">
        <v>2.2189999999997667</v>
      </c>
      <c r="CR14" s="37">
        <f t="shared" si="38"/>
        <v>2456.8359999999993</v>
      </c>
      <c r="CS14" s="36">
        <v>100.795</v>
      </c>
      <c r="CT14" s="33">
        <v>1719.2339999999999</v>
      </c>
      <c r="CU14" s="37">
        <f t="shared" si="39"/>
        <v>1820.029</v>
      </c>
      <c r="CV14" s="36">
        <v>271.46100000000001</v>
      </c>
      <c r="CW14" s="36">
        <v>13.165999999999769</v>
      </c>
      <c r="CX14" s="37">
        <f t="shared" si="40"/>
        <v>284.62699999999978</v>
      </c>
      <c r="CY14" s="36">
        <v>30.314</v>
      </c>
      <c r="CZ14" s="36">
        <v>321.86599999999999</v>
      </c>
      <c r="DA14" s="71">
        <f t="shared" si="41"/>
        <v>2456.8359999999998</v>
      </c>
      <c r="DB14" s="36"/>
      <c r="DC14" s="72">
        <v>300.96899999999999</v>
      </c>
      <c r="DD14" s="36"/>
      <c r="DE14" s="32">
        <v>45</v>
      </c>
      <c r="DF14" s="33">
        <v>125</v>
      </c>
      <c r="DG14" s="33">
        <v>100</v>
      </c>
      <c r="DH14" s="33">
        <v>0</v>
      </c>
      <c r="DI14" s="33">
        <v>130</v>
      </c>
      <c r="DJ14" s="33">
        <v>0</v>
      </c>
      <c r="DK14" s="34">
        <f t="shared" si="42"/>
        <v>400</v>
      </c>
      <c r="DL14" s="63">
        <f t="shared" si="43"/>
        <v>0.1628110301216687</v>
      </c>
      <c r="DM14" s="63">
        <f t="shared" si="44"/>
        <v>0.32334596204223648</v>
      </c>
      <c r="DN14" s="36"/>
      <c r="DO14" s="65" t="s">
        <v>162</v>
      </c>
      <c r="DP14" s="59">
        <v>16.3</v>
      </c>
      <c r="DQ14" s="59">
        <v>5310</v>
      </c>
      <c r="DR14" s="73">
        <v>2</v>
      </c>
      <c r="DS14" s="59" t="s">
        <v>163</v>
      </c>
      <c r="DT14" s="65"/>
      <c r="DU14" s="59"/>
      <c r="DV14" s="63" t="s">
        <v>172</v>
      </c>
      <c r="DW14" s="64"/>
      <c r="DX14" s="32">
        <v>243.55485570000002</v>
      </c>
      <c r="DY14" s="33">
        <v>243.55485570000002</v>
      </c>
      <c r="DZ14" s="34">
        <v>273.51348180000002</v>
      </c>
      <c r="EA14" s="33"/>
      <c r="EB14" s="65">
        <f t="shared" si="45"/>
        <v>1215.9475</v>
      </c>
      <c r="EC14" s="33">
        <v>1178.396</v>
      </c>
      <c r="ED14" s="34">
        <v>1253.499</v>
      </c>
      <c r="EE14" s="33"/>
      <c r="EF14" s="32">
        <v>7.9690000000000003</v>
      </c>
      <c r="EG14" s="33">
        <v>15.548999999999999</v>
      </c>
      <c r="EH14" s="33">
        <v>88.113</v>
      </c>
      <c r="EI14" s="33">
        <v>54.875999999999998</v>
      </c>
      <c r="EJ14" s="33">
        <v>237.17400000000001</v>
      </c>
      <c r="EK14" s="33">
        <v>12.090999999999999</v>
      </c>
      <c r="EL14" s="33">
        <v>20.350999999999885</v>
      </c>
      <c r="EM14" s="34">
        <v>1506.1990000000001</v>
      </c>
      <c r="EN14" s="34">
        <f t="shared" si="46"/>
        <v>1942.3220000000001</v>
      </c>
      <c r="EO14" s="59"/>
      <c r="EP14" s="48">
        <f t="shared" si="47"/>
        <v>4.1028212623859485E-3</v>
      </c>
      <c r="EQ14" s="6">
        <f t="shared" si="47"/>
        <v>8.005366772347736E-3</v>
      </c>
      <c r="ER14" s="6">
        <f t="shared" si="47"/>
        <v>4.5364774738689051E-2</v>
      </c>
      <c r="ES14" s="6">
        <f t="shared" si="47"/>
        <v>2.8252781979507001E-2</v>
      </c>
      <c r="ET14" s="6">
        <f t="shared" si="47"/>
        <v>0.1221084866463954</v>
      </c>
      <c r="EU14" s="6">
        <f t="shared" si="47"/>
        <v>6.2250234513123977E-3</v>
      </c>
      <c r="EV14" s="6">
        <f t="shared" si="47"/>
        <v>1.0477665392246953E-2</v>
      </c>
      <c r="EW14" s="6">
        <f t="shared" si="47"/>
        <v>0.77546307975711548</v>
      </c>
      <c r="EX14" s="63">
        <f t="shared" si="48"/>
        <v>1</v>
      </c>
      <c r="EY14" s="59"/>
      <c r="EZ14" s="35">
        <v>9.2469999999999999</v>
      </c>
      <c r="FA14" s="36">
        <v>18.827999999999999</v>
      </c>
      <c r="FB14" s="71">
        <f t="shared" si="49"/>
        <v>28.074999999999999</v>
      </c>
      <c r="FD14" s="35">
        <f t="shared" si="50"/>
        <v>4.7249999999999996</v>
      </c>
      <c r="FE14" s="36">
        <f t="shared" si="50"/>
        <v>8.4499999999999993</v>
      </c>
      <c r="FF14" s="71">
        <f t="shared" si="51"/>
        <v>13.174999999999999</v>
      </c>
      <c r="FH14" s="32">
        <f t="shared" si="52"/>
        <v>1576.1130000000001</v>
      </c>
      <c r="FI14" s="33">
        <f t="shared" si="53"/>
        <v>453.14699999999982</v>
      </c>
      <c r="FJ14" s="34">
        <f t="shared" si="54"/>
        <v>2029.2599999999998</v>
      </c>
      <c r="FL14" s="48">
        <v>0.77669347446852555</v>
      </c>
      <c r="FM14" s="6">
        <v>0.22330652553147445</v>
      </c>
      <c r="FN14" s="41">
        <f t="shared" si="55"/>
        <v>1</v>
      </c>
      <c r="FO14" s="59"/>
      <c r="FP14" s="65">
        <f t="shared" si="56"/>
        <v>310.072</v>
      </c>
      <c r="FQ14" s="33">
        <v>298.27800000000002</v>
      </c>
      <c r="FR14" s="34">
        <f t="shared" si="57"/>
        <v>321.86599999999999</v>
      </c>
      <c r="FT14" s="65">
        <f t="shared" si="58"/>
        <v>1956.296</v>
      </c>
      <c r="FU14" s="33">
        <v>1883.3320000000001</v>
      </c>
      <c r="FV14" s="34">
        <f t="shared" si="59"/>
        <v>2029.26</v>
      </c>
      <c r="FX14" s="65">
        <f t="shared" si="60"/>
        <v>740.19650000000001</v>
      </c>
      <c r="FY14" s="33">
        <v>691.577</v>
      </c>
      <c r="FZ14" s="34">
        <f t="shared" si="61"/>
        <v>788.81600000000003</v>
      </c>
      <c r="GB14" s="65">
        <f t="shared" si="62"/>
        <v>2696.4925000000003</v>
      </c>
      <c r="GC14" s="59">
        <f t="shared" si="63"/>
        <v>2574.9090000000001</v>
      </c>
      <c r="GD14" s="73">
        <f t="shared" si="63"/>
        <v>2818.076</v>
      </c>
      <c r="GF14" s="65">
        <f t="shared" si="64"/>
        <v>1704.6785</v>
      </c>
      <c r="GG14" s="33">
        <v>1690.123</v>
      </c>
      <c r="GH14" s="34">
        <f t="shared" si="65"/>
        <v>1719.2339999999999</v>
      </c>
      <c r="GI14" s="33"/>
      <c r="GJ14" s="65">
        <f t="shared" si="66"/>
        <v>2389.6224999999999</v>
      </c>
      <c r="GK14" s="33">
        <v>2322.4090000000001</v>
      </c>
      <c r="GL14" s="34">
        <f t="shared" si="67"/>
        <v>2456.8359999999998</v>
      </c>
      <c r="GM14" s="33"/>
      <c r="GN14" s="76">
        <f t="shared" si="68"/>
        <v>0.51020865861620401</v>
      </c>
      <c r="GO14" s="67"/>
      <c r="GP14" s="5"/>
    </row>
    <row r="15" spans="2:198" s="1" customFormat="1" x14ac:dyDescent="0.2">
      <c r="B15" s="77" t="s">
        <v>182</v>
      </c>
      <c r="C15" s="32">
        <v>933.13599999999997</v>
      </c>
      <c r="D15" s="33">
        <v>905.32449999999994</v>
      </c>
      <c r="E15" s="33">
        <v>807.95699999999999</v>
      </c>
      <c r="F15" s="33">
        <v>257.38900000000001</v>
      </c>
      <c r="G15" s="33">
        <v>701.82899999999995</v>
      </c>
      <c r="H15" s="33">
        <v>1190.5250000000001</v>
      </c>
      <c r="I15" s="34">
        <v>1065.346</v>
      </c>
      <c r="J15" s="33"/>
      <c r="K15" s="35">
        <v>16.503</v>
      </c>
      <c r="L15" s="36">
        <v>2.8530000000000002</v>
      </c>
      <c r="M15" s="36">
        <v>0.248</v>
      </c>
      <c r="N15" s="37">
        <f t="shared" si="0"/>
        <v>19.604000000000003</v>
      </c>
      <c r="O15" s="36">
        <v>9.5919999999999987</v>
      </c>
      <c r="P15" s="37">
        <f t="shared" si="1"/>
        <v>10.012000000000004</v>
      </c>
      <c r="Q15" s="36">
        <v>0.40300000000000002</v>
      </c>
      <c r="R15" s="37">
        <f t="shared" si="2"/>
        <v>9.6090000000000035</v>
      </c>
      <c r="S15" s="36">
        <v>0.78800000000000003</v>
      </c>
      <c r="T15" s="36">
        <v>-3.6000000000000004E-2</v>
      </c>
      <c r="U15" s="36">
        <v>-0.80800000000000005</v>
      </c>
      <c r="V15" s="37">
        <f t="shared" si="3"/>
        <v>9.5530000000000044</v>
      </c>
      <c r="W15" s="36">
        <v>2.1909999999999998</v>
      </c>
      <c r="X15" s="38">
        <f t="shared" si="4"/>
        <v>7.3620000000000045</v>
      </c>
      <c r="Y15" s="36"/>
      <c r="Z15" s="39">
        <f t="shared" si="5"/>
        <v>3.6457645849637343E-2</v>
      </c>
      <c r="AA15" s="40">
        <f t="shared" si="6"/>
        <v>6.3027124528276888E-3</v>
      </c>
      <c r="AB15" s="6">
        <f t="shared" si="7"/>
        <v>0.47121241894281773</v>
      </c>
      <c r="AC15" s="6">
        <f t="shared" si="8"/>
        <v>0.47038054138877977</v>
      </c>
      <c r="AD15" s="6">
        <f t="shared" si="9"/>
        <v>0.48928790042848386</v>
      </c>
      <c r="AE15" s="40">
        <f t="shared" si="10"/>
        <v>2.1190192025069464E-2</v>
      </c>
      <c r="AF15" s="40">
        <f t="shared" si="11"/>
        <v>1.6263781660608996E-2</v>
      </c>
      <c r="AG15" s="40">
        <f t="shared" si="12"/>
        <v>3.3710141775368768E-2</v>
      </c>
      <c r="AH15" s="40">
        <f t="shared" si="13"/>
        <v>4.9287688952739654E-2</v>
      </c>
      <c r="AI15" s="40">
        <f t="shared" si="14"/>
        <v>4.399901552832361E-2</v>
      </c>
      <c r="AJ15" s="41">
        <f t="shared" si="15"/>
        <v>0.11094868510285594</v>
      </c>
      <c r="AK15" s="42"/>
      <c r="AL15" s="48">
        <f t="shared" si="16"/>
        <v>0.11481094118231432</v>
      </c>
      <c r="AM15" s="6">
        <f t="shared" si="17"/>
        <v>0.10198593019298664</v>
      </c>
      <c r="AN15" s="41">
        <f t="shared" si="18"/>
        <v>8.7195081334880187E-2</v>
      </c>
      <c r="AO15" s="36"/>
      <c r="AP15" s="48">
        <f t="shared" si="19"/>
        <v>0.86864647499805059</v>
      </c>
      <c r="AQ15" s="6">
        <f t="shared" si="20"/>
        <v>0.89331113512522775</v>
      </c>
      <c r="AR15" s="6">
        <f t="shared" si="21"/>
        <v>-6.6689099981139012E-3</v>
      </c>
      <c r="AS15" s="6">
        <f t="shared" si="22"/>
        <v>0.22774225836319681</v>
      </c>
      <c r="AT15" s="6">
        <f t="shared" si="23"/>
        <v>9.6495044666586663E-2</v>
      </c>
      <c r="AU15" s="69">
        <v>1.6</v>
      </c>
      <c r="AV15" s="70">
        <v>1.29</v>
      </c>
      <c r="AW15" s="36"/>
      <c r="AX15" s="48">
        <f t="shared" si="24"/>
        <v>0.14817882923818176</v>
      </c>
      <c r="AY15" s="6">
        <v>0.1186</v>
      </c>
      <c r="AZ15" s="6">
        <f t="shared" si="25"/>
        <v>0.24629999999999999</v>
      </c>
      <c r="BA15" s="6">
        <f t="shared" si="26"/>
        <v>0.24629999999999999</v>
      </c>
      <c r="BB15" s="41">
        <f t="shared" si="27"/>
        <v>0.24629999999999999</v>
      </c>
      <c r="BC15" s="6"/>
      <c r="BD15" s="48">
        <v>0.2263</v>
      </c>
      <c r="BE15" s="6">
        <v>0.23019999999999999</v>
      </c>
      <c r="BF15" s="41">
        <v>0.23440000000000003</v>
      </c>
      <c r="BG15" s="6"/>
      <c r="BH15" s="48"/>
      <c r="BI15" s="41"/>
      <c r="BJ15" s="48"/>
      <c r="BK15" s="41"/>
      <c r="BL15" s="63"/>
      <c r="BM15" s="6"/>
      <c r="BN15" s="48"/>
      <c r="BO15" s="41"/>
      <c r="BP15" s="6"/>
      <c r="BQ15" s="48"/>
      <c r="BR15" s="41"/>
      <c r="BS15" s="6"/>
      <c r="BT15" s="48"/>
      <c r="BU15" s="41"/>
      <c r="BV15" s="36"/>
      <c r="BW15" s="39">
        <f t="shared" si="28"/>
        <v>1.0517353306735478E-3</v>
      </c>
      <c r="BX15" s="6">
        <f t="shared" si="29"/>
        <v>3.7439613526570034E-2</v>
      </c>
      <c r="BY15" s="40">
        <f t="shared" si="30"/>
        <v>1.4349773564682278E-2</v>
      </c>
      <c r="BZ15" s="6">
        <f t="shared" si="31"/>
        <v>8.1041219602552728E-2</v>
      </c>
      <c r="CA15" s="6">
        <f t="shared" si="32"/>
        <v>0.80068865050986626</v>
      </c>
      <c r="CB15" s="41">
        <f t="shared" si="33"/>
        <v>0.84884253566446966</v>
      </c>
      <c r="CC15" s="36"/>
      <c r="CD15" s="35">
        <v>1.6359999999999999</v>
      </c>
      <c r="CE15" s="36">
        <v>30.696999999999999</v>
      </c>
      <c r="CF15" s="37">
        <f t="shared" si="34"/>
        <v>32.332999999999998</v>
      </c>
      <c r="CG15" s="33">
        <f t="shared" si="35"/>
        <v>807.95699999999999</v>
      </c>
      <c r="CH15" s="36">
        <v>1.52</v>
      </c>
      <c r="CI15" s="36">
        <v>3.2720000000000002</v>
      </c>
      <c r="CJ15" s="37">
        <f t="shared" si="36"/>
        <v>803.16499999999996</v>
      </c>
      <c r="CK15" s="36">
        <v>57.71</v>
      </c>
      <c r="CL15" s="36">
        <v>36.127000000000002</v>
      </c>
      <c r="CM15" s="37">
        <f t="shared" si="37"/>
        <v>93.837000000000003</v>
      </c>
      <c r="CN15" s="36">
        <v>0</v>
      </c>
      <c r="CO15" s="36">
        <v>0</v>
      </c>
      <c r="CP15" s="36">
        <v>3.7679999999999998</v>
      </c>
      <c r="CQ15" s="36">
        <v>3.300000000003056E-2</v>
      </c>
      <c r="CR15" s="37">
        <f t="shared" si="38"/>
        <v>933.13599999999997</v>
      </c>
      <c r="CS15" s="36">
        <v>83.82</v>
      </c>
      <c r="CT15" s="33">
        <v>701.82899999999995</v>
      </c>
      <c r="CU15" s="37">
        <f t="shared" si="39"/>
        <v>785.64899999999989</v>
      </c>
      <c r="CV15" s="36">
        <v>0</v>
      </c>
      <c r="CW15" s="36">
        <v>9.2160000000000935</v>
      </c>
      <c r="CX15" s="37">
        <f t="shared" si="40"/>
        <v>9.2160000000000935</v>
      </c>
      <c r="CY15" s="36">
        <v>0</v>
      </c>
      <c r="CZ15" s="36">
        <v>138.27099999999999</v>
      </c>
      <c r="DA15" s="71">
        <f t="shared" si="41"/>
        <v>933.13599999999997</v>
      </c>
      <c r="DB15" s="36"/>
      <c r="DC15" s="72">
        <v>90.043000000000006</v>
      </c>
      <c r="DD15" s="36"/>
      <c r="DE15" s="32">
        <v>40</v>
      </c>
      <c r="DF15" s="33">
        <v>0</v>
      </c>
      <c r="DG15" s="33">
        <v>0</v>
      </c>
      <c r="DH15" s="33">
        <v>0</v>
      </c>
      <c r="DI15" s="33">
        <v>0</v>
      </c>
      <c r="DJ15" s="33">
        <v>0</v>
      </c>
      <c r="DK15" s="34">
        <f t="shared" si="42"/>
        <v>40</v>
      </c>
      <c r="DL15" s="63">
        <f t="shared" si="43"/>
        <v>4.2866205997839545E-2</v>
      </c>
      <c r="DM15" s="63">
        <f t="shared" si="44"/>
        <v>0.18078232969256358</v>
      </c>
      <c r="DN15" s="36"/>
      <c r="DO15" s="65" t="s">
        <v>167</v>
      </c>
      <c r="DP15" s="59">
        <v>8</v>
      </c>
      <c r="DQ15" s="59">
        <v>2675</v>
      </c>
      <c r="DR15" s="73">
        <v>2</v>
      </c>
      <c r="DS15" s="59" t="s">
        <v>163</v>
      </c>
      <c r="DT15" s="65"/>
      <c r="DU15" s="62" t="s">
        <v>165</v>
      </c>
      <c r="DV15" s="63">
        <v>0.40840759672790583</v>
      </c>
      <c r="DW15" s="64"/>
      <c r="DX15" s="32">
        <v>110.53673069999999</v>
      </c>
      <c r="DY15" s="33">
        <v>110.53673069999999</v>
      </c>
      <c r="DZ15" s="34">
        <v>110.53673069999999</v>
      </c>
      <c r="EA15" s="33"/>
      <c r="EB15" s="65">
        <f t="shared" si="45"/>
        <v>436.78250000000003</v>
      </c>
      <c r="EC15" s="33">
        <v>424.77600000000001</v>
      </c>
      <c r="ED15" s="34">
        <v>448.78899999999999</v>
      </c>
      <c r="EE15" s="33"/>
      <c r="EF15" s="32">
        <v>28.395</v>
      </c>
      <c r="EG15" s="33">
        <v>9.9120000000000008</v>
      </c>
      <c r="EH15" s="33">
        <v>16.567</v>
      </c>
      <c r="EI15" s="33">
        <v>11.86</v>
      </c>
      <c r="EJ15" s="33">
        <v>72.676000000000002</v>
      </c>
      <c r="EK15" s="33">
        <v>4.4059999999999997</v>
      </c>
      <c r="EL15" s="33">
        <v>3.0190000000000055</v>
      </c>
      <c r="EM15" s="34">
        <v>618.4</v>
      </c>
      <c r="EN15" s="34">
        <f t="shared" si="46"/>
        <v>765.23500000000001</v>
      </c>
      <c r="EO15" s="59"/>
      <c r="EP15" s="48">
        <f t="shared" si="47"/>
        <v>3.7106248407351987E-2</v>
      </c>
      <c r="EQ15" s="6">
        <f t="shared" si="47"/>
        <v>1.2952883754663601E-2</v>
      </c>
      <c r="ER15" s="6">
        <f t="shared" si="47"/>
        <v>2.1649558632315564E-2</v>
      </c>
      <c r="ES15" s="6">
        <f t="shared" si="47"/>
        <v>1.5498506994583362E-2</v>
      </c>
      <c r="ET15" s="6">
        <f t="shared" si="47"/>
        <v>9.4972132743536303E-2</v>
      </c>
      <c r="EU15" s="6">
        <f t="shared" si="47"/>
        <v>5.7577084163688277E-3</v>
      </c>
      <c r="EV15" s="6">
        <f t="shared" si="47"/>
        <v>3.9451933066313033E-3</v>
      </c>
      <c r="EW15" s="6">
        <f t="shared" si="47"/>
        <v>0.80811776774454902</v>
      </c>
      <c r="EX15" s="63">
        <f t="shared" si="48"/>
        <v>1</v>
      </c>
      <c r="EY15" s="59"/>
      <c r="EZ15" s="35">
        <v>5.66</v>
      </c>
      <c r="FA15" s="36">
        <v>5.9339999999999993</v>
      </c>
      <c r="FB15" s="71">
        <f t="shared" si="49"/>
        <v>11.593999999999999</v>
      </c>
      <c r="FD15" s="35">
        <f t="shared" si="50"/>
        <v>1.52</v>
      </c>
      <c r="FE15" s="36">
        <f t="shared" si="50"/>
        <v>3.2720000000000002</v>
      </c>
      <c r="FF15" s="71">
        <f t="shared" si="51"/>
        <v>4.7919999999999998</v>
      </c>
      <c r="FH15" s="32">
        <f t="shared" si="52"/>
        <v>646.92200000000003</v>
      </c>
      <c r="FI15" s="33">
        <f t="shared" si="53"/>
        <v>161.035</v>
      </c>
      <c r="FJ15" s="34">
        <f t="shared" si="54"/>
        <v>807.95699999999999</v>
      </c>
      <c r="FL15" s="48">
        <v>0.80068865050986626</v>
      </c>
      <c r="FM15" s="6">
        <v>0.19931134949013374</v>
      </c>
      <c r="FN15" s="41">
        <f t="shared" si="55"/>
        <v>1</v>
      </c>
      <c r="FO15" s="59"/>
      <c r="FP15" s="65">
        <f t="shared" si="56"/>
        <v>132.70999999999998</v>
      </c>
      <c r="FQ15" s="33">
        <v>127.149</v>
      </c>
      <c r="FR15" s="34">
        <f t="shared" si="57"/>
        <v>138.27099999999999</v>
      </c>
      <c r="FT15" s="65">
        <f t="shared" si="58"/>
        <v>766.35249999999996</v>
      </c>
      <c r="FU15" s="33">
        <v>724.74800000000005</v>
      </c>
      <c r="FV15" s="34">
        <f t="shared" si="59"/>
        <v>807.95699999999999</v>
      </c>
      <c r="FX15" s="65">
        <f t="shared" si="60"/>
        <v>249.696</v>
      </c>
      <c r="FY15" s="33">
        <v>242.00299999999999</v>
      </c>
      <c r="FZ15" s="34">
        <f t="shared" si="61"/>
        <v>257.38900000000001</v>
      </c>
      <c r="GB15" s="65">
        <f t="shared" si="62"/>
        <v>1016.0485</v>
      </c>
      <c r="GC15" s="59">
        <f t="shared" si="63"/>
        <v>966.75099999999998</v>
      </c>
      <c r="GD15" s="73">
        <f t="shared" si="63"/>
        <v>1065.346</v>
      </c>
      <c r="GF15" s="65">
        <f t="shared" si="64"/>
        <v>673.68499999999995</v>
      </c>
      <c r="GG15" s="33">
        <v>645.54100000000005</v>
      </c>
      <c r="GH15" s="34">
        <f t="shared" si="65"/>
        <v>701.82899999999995</v>
      </c>
      <c r="GI15" s="33"/>
      <c r="GJ15" s="65">
        <f t="shared" si="66"/>
        <v>905.32449999999994</v>
      </c>
      <c r="GK15" s="33">
        <v>877.51300000000003</v>
      </c>
      <c r="GL15" s="34">
        <f t="shared" si="67"/>
        <v>933.13599999999997</v>
      </c>
      <c r="GM15" s="33"/>
      <c r="GN15" s="76">
        <f t="shared" si="68"/>
        <v>0.48094704308911029</v>
      </c>
      <c r="GO15" s="67"/>
    </row>
    <row r="16" spans="2:198" s="1" customFormat="1" x14ac:dyDescent="0.2">
      <c r="B16" s="77" t="s">
        <v>183</v>
      </c>
      <c r="C16" s="32">
        <v>9912.9889999999996</v>
      </c>
      <c r="D16" s="33">
        <v>9232.155999999999</v>
      </c>
      <c r="E16" s="33">
        <v>7978.0919999999996</v>
      </c>
      <c r="F16" s="33">
        <v>3283.9569999999999</v>
      </c>
      <c r="G16" s="33">
        <v>7273.5439999999999</v>
      </c>
      <c r="H16" s="33">
        <v>13196.946</v>
      </c>
      <c r="I16" s="34">
        <v>11262.048999999999</v>
      </c>
      <c r="J16" s="33"/>
      <c r="K16" s="35">
        <v>105.82</v>
      </c>
      <c r="L16" s="36">
        <v>39.918999999999997</v>
      </c>
      <c r="M16" s="36">
        <v>0.38500000000000001</v>
      </c>
      <c r="N16" s="37">
        <f t="shared" si="0"/>
        <v>146.12399999999997</v>
      </c>
      <c r="O16" s="36">
        <v>68.927999999999997</v>
      </c>
      <c r="P16" s="37">
        <f t="shared" si="1"/>
        <v>77.19599999999997</v>
      </c>
      <c r="Q16" s="36">
        <v>2.839</v>
      </c>
      <c r="R16" s="37">
        <f t="shared" si="2"/>
        <v>74.356999999999971</v>
      </c>
      <c r="S16" s="36">
        <v>18.36</v>
      </c>
      <c r="T16" s="36">
        <v>-5.7919999999999998</v>
      </c>
      <c r="U16" s="36">
        <v>-2</v>
      </c>
      <c r="V16" s="37">
        <f t="shared" si="3"/>
        <v>84.924999999999969</v>
      </c>
      <c r="W16" s="36">
        <v>17.748000000000001</v>
      </c>
      <c r="X16" s="38">
        <f t="shared" si="4"/>
        <v>67.176999999999964</v>
      </c>
      <c r="Y16" s="36"/>
      <c r="Z16" s="39">
        <f t="shared" si="5"/>
        <v>2.2924222684278732E-2</v>
      </c>
      <c r="AA16" s="40">
        <f t="shared" si="6"/>
        <v>8.6478174762211566E-3</v>
      </c>
      <c r="AB16" s="6">
        <f t="shared" si="7"/>
        <v>0.43435081793663199</v>
      </c>
      <c r="AC16" s="6">
        <f t="shared" si="8"/>
        <v>0.41905595681038887</v>
      </c>
      <c r="AD16" s="6">
        <f t="shared" si="9"/>
        <v>0.47170895951383768</v>
      </c>
      <c r="AE16" s="40">
        <f t="shared" si="10"/>
        <v>1.4932156692326257E-2</v>
      </c>
      <c r="AF16" s="40">
        <f t="shared" si="11"/>
        <v>1.4552830346454278E-2</v>
      </c>
      <c r="AG16" s="40">
        <f t="shared" si="12"/>
        <v>3.254865194208037E-2</v>
      </c>
      <c r="AH16" s="40">
        <f t="shared" si="13"/>
        <v>4.3492522633176572E-2</v>
      </c>
      <c r="AI16" s="40">
        <f t="shared" si="14"/>
        <v>3.6027511089469166E-2</v>
      </c>
      <c r="AJ16" s="41">
        <f t="shared" si="15"/>
        <v>0.12635948791837986</v>
      </c>
      <c r="AK16" s="42"/>
      <c r="AL16" s="48">
        <f t="shared" si="16"/>
        <v>0.10363264977511213</v>
      </c>
      <c r="AM16" s="6">
        <f t="shared" si="17"/>
        <v>9.5256989915840917E-2</v>
      </c>
      <c r="AN16" s="41">
        <f t="shared" si="18"/>
        <v>0.22455843095845462</v>
      </c>
      <c r="AO16" s="36"/>
      <c r="AP16" s="48">
        <f t="shared" si="19"/>
        <v>0.91168966213976976</v>
      </c>
      <c r="AQ16" s="6">
        <f t="shared" si="20"/>
        <v>0.83852127405582333</v>
      </c>
      <c r="AR16" s="6">
        <f t="shared" si="21"/>
        <v>5.8578699118903461E-3</v>
      </c>
      <c r="AS16" s="6">
        <f t="shared" si="22"/>
        <v>0.29019224171438096</v>
      </c>
      <c r="AT16" s="6">
        <f t="shared" si="23"/>
        <v>0.1354422969701671</v>
      </c>
      <c r="AU16" s="69">
        <v>2.0750000000000002</v>
      </c>
      <c r="AV16" s="70">
        <v>1.2969999999999999</v>
      </c>
      <c r="AW16" s="36"/>
      <c r="AX16" s="48">
        <f t="shared" si="24"/>
        <v>0.1130094061437978</v>
      </c>
      <c r="AY16" s="6">
        <v>7.8799999999999995E-2</v>
      </c>
      <c r="AZ16" s="6">
        <f t="shared" si="25"/>
        <v>0.16439778952037545</v>
      </c>
      <c r="BA16" s="6">
        <f t="shared" si="26"/>
        <v>0.1806882777835441</v>
      </c>
      <c r="BB16" s="41">
        <f t="shared" si="27"/>
        <v>0.20279679756927296</v>
      </c>
      <c r="BC16" s="6"/>
      <c r="BD16" s="48">
        <v>0.17280000000000001</v>
      </c>
      <c r="BE16" s="6">
        <v>0.189</v>
      </c>
      <c r="BF16" s="41">
        <v>0.20960000000000001</v>
      </c>
      <c r="BG16" s="6"/>
      <c r="BH16" s="48"/>
      <c r="BI16" s="41">
        <v>0.02</v>
      </c>
      <c r="BJ16" s="48"/>
      <c r="BK16" s="41"/>
      <c r="BL16" s="63"/>
      <c r="BM16" s="6"/>
      <c r="BN16" s="48"/>
      <c r="BO16" s="41">
        <f>BD16-(4.5%+2.5%+3%+2.5%+BI16)</f>
        <v>2.7800000000000019E-2</v>
      </c>
      <c r="BP16" s="6"/>
      <c r="BQ16" s="48"/>
      <c r="BR16" s="41">
        <f>BE16-(6%+2.5%+3%+2.5%+BI16)</f>
        <v>2.9000000000000026E-2</v>
      </c>
      <c r="BS16" s="6"/>
      <c r="BT16" s="48"/>
      <c r="BU16" s="41">
        <f t="shared" ref="BU16:BU26" si="69">BF16-(8%+2.5%+3%+2.5%+BI16)</f>
        <v>2.9600000000000015E-2</v>
      </c>
      <c r="BV16" s="36"/>
      <c r="BW16" s="39">
        <f t="shared" si="28"/>
        <v>7.4675988671029129E-4</v>
      </c>
      <c r="BX16" s="6">
        <f t="shared" si="29"/>
        <v>3.162737845907046E-2</v>
      </c>
      <c r="BY16" s="40">
        <f t="shared" si="30"/>
        <v>3.6859690261781893E-3</v>
      </c>
      <c r="BZ16" s="6">
        <f t="shared" si="31"/>
        <v>2.5750821159334247E-2</v>
      </c>
      <c r="CA16" s="6">
        <f t="shared" si="32"/>
        <v>0.65395748757973704</v>
      </c>
      <c r="CB16" s="41">
        <f t="shared" si="33"/>
        <v>0.75486174851485721</v>
      </c>
      <c r="CC16" s="36"/>
      <c r="CD16" s="35">
        <v>75.668000000000006</v>
      </c>
      <c r="CE16" s="36">
        <v>455.303</v>
      </c>
      <c r="CF16" s="37">
        <f t="shared" si="34"/>
        <v>530.971</v>
      </c>
      <c r="CG16" s="33">
        <f t="shared" si="35"/>
        <v>7978.0919999999996</v>
      </c>
      <c r="CH16" s="36">
        <v>8.359</v>
      </c>
      <c r="CI16" s="36">
        <v>13.363</v>
      </c>
      <c r="CJ16" s="37">
        <f t="shared" si="36"/>
        <v>7956.369999999999</v>
      </c>
      <c r="CK16" s="36">
        <v>811.66700000000003</v>
      </c>
      <c r="CL16" s="36">
        <v>508.12400000000002</v>
      </c>
      <c r="CM16" s="37">
        <f t="shared" si="37"/>
        <v>1319.7910000000002</v>
      </c>
      <c r="CN16" s="36">
        <v>11.65</v>
      </c>
      <c r="CO16" s="36">
        <v>8.7999999999999995E-2</v>
      </c>
      <c r="CP16" s="36">
        <v>76.849999999999994</v>
      </c>
      <c r="CQ16" s="36">
        <v>17.269000000000887</v>
      </c>
      <c r="CR16" s="37">
        <f t="shared" si="38"/>
        <v>9912.9889999999978</v>
      </c>
      <c r="CS16" s="36">
        <v>0</v>
      </c>
      <c r="CT16" s="33">
        <v>7273.5439999999999</v>
      </c>
      <c r="CU16" s="37">
        <f t="shared" si="39"/>
        <v>7273.5439999999999</v>
      </c>
      <c r="CV16" s="36">
        <v>1234.694</v>
      </c>
      <c r="CW16" s="36">
        <v>118.47699999999986</v>
      </c>
      <c r="CX16" s="37">
        <f t="shared" si="40"/>
        <v>1353.1709999999998</v>
      </c>
      <c r="CY16" s="36">
        <v>166.01300000000001</v>
      </c>
      <c r="CZ16" s="36">
        <v>1120.261</v>
      </c>
      <c r="DA16" s="71">
        <f t="shared" si="41"/>
        <v>9912.9890000000014</v>
      </c>
      <c r="DB16" s="36"/>
      <c r="DC16" s="72">
        <v>1342.6379999999999</v>
      </c>
      <c r="DD16" s="36"/>
      <c r="DE16" s="32">
        <v>340</v>
      </c>
      <c r="DF16" s="33">
        <v>305</v>
      </c>
      <c r="DG16" s="33">
        <v>350</v>
      </c>
      <c r="DH16" s="33">
        <v>250</v>
      </c>
      <c r="DI16" s="33">
        <v>150</v>
      </c>
      <c r="DJ16" s="33">
        <v>0</v>
      </c>
      <c r="DK16" s="34">
        <f t="shared" si="42"/>
        <v>1395</v>
      </c>
      <c r="DL16" s="63">
        <f t="shared" si="43"/>
        <v>0.14072445757783048</v>
      </c>
      <c r="DM16" s="63">
        <f t="shared" si="44"/>
        <v>0.3063635498838948</v>
      </c>
      <c r="DN16" s="36"/>
      <c r="DO16" s="65" t="s">
        <v>178</v>
      </c>
      <c r="DP16" s="59">
        <v>63.9</v>
      </c>
      <c r="DQ16" s="59">
        <v>19686</v>
      </c>
      <c r="DR16" s="73">
        <v>7</v>
      </c>
      <c r="DS16" s="59" t="s">
        <v>163</v>
      </c>
      <c r="DT16" s="75" t="s">
        <v>164</v>
      </c>
      <c r="DU16" s="62" t="s">
        <v>170</v>
      </c>
      <c r="DV16" s="63">
        <v>0.49557759260058426</v>
      </c>
      <c r="DW16" s="64"/>
      <c r="DX16" s="32">
        <v>706.41499999999996</v>
      </c>
      <c r="DY16" s="33">
        <v>776.41499999999996</v>
      </c>
      <c r="DZ16" s="34">
        <v>871.41499999999996</v>
      </c>
      <c r="EA16" s="33"/>
      <c r="EB16" s="65">
        <f t="shared" si="45"/>
        <v>4127.79</v>
      </c>
      <c r="EC16" s="33">
        <v>3958.5940000000001</v>
      </c>
      <c r="ED16" s="34">
        <v>4296.9859999999999</v>
      </c>
      <c r="EE16" s="33"/>
      <c r="EF16" s="32">
        <v>838.09400000000005</v>
      </c>
      <c r="EG16" s="33">
        <v>64.864999999999995</v>
      </c>
      <c r="EH16" s="33">
        <v>206.59700000000001</v>
      </c>
      <c r="EI16" s="33">
        <v>108.483</v>
      </c>
      <c r="EJ16" s="33">
        <v>1228.675</v>
      </c>
      <c r="EK16" s="33">
        <v>32.182000000000002</v>
      </c>
      <c r="EL16" s="33">
        <v>125.1910000000007</v>
      </c>
      <c r="EM16" s="34">
        <v>4982.3909999999996</v>
      </c>
      <c r="EN16" s="34">
        <f t="shared" si="46"/>
        <v>7586.4780000000001</v>
      </c>
      <c r="EO16" s="59"/>
      <c r="EP16" s="48">
        <f t="shared" si="47"/>
        <v>0.11047207940232609</v>
      </c>
      <c r="EQ16" s="6">
        <f t="shared" si="47"/>
        <v>8.5500808148392428E-3</v>
      </c>
      <c r="ER16" s="6">
        <f t="shared" si="47"/>
        <v>2.7232267726868781E-2</v>
      </c>
      <c r="ES16" s="6">
        <f t="shared" si="47"/>
        <v>1.4299520805306495E-2</v>
      </c>
      <c r="ET16" s="6">
        <f t="shared" si="47"/>
        <v>0.16195591682991764</v>
      </c>
      <c r="EU16" s="6">
        <f t="shared" si="47"/>
        <v>4.2420211328629701E-3</v>
      </c>
      <c r="EV16" s="6">
        <f t="shared" si="47"/>
        <v>1.6501860283520322E-2</v>
      </c>
      <c r="EW16" s="6">
        <f t="shared" si="47"/>
        <v>0.65674625300435852</v>
      </c>
      <c r="EX16" s="63">
        <f t="shared" si="48"/>
        <v>1</v>
      </c>
      <c r="EY16" s="59"/>
      <c r="EZ16" s="35">
        <v>14.715</v>
      </c>
      <c r="FA16" s="36">
        <v>14.692</v>
      </c>
      <c r="FB16" s="71">
        <f t="shared" si="49"/>
        <v>29.407</v>
      </c>
      <c r="FD16" s="35">
        <f t="shared" si="50"/>
        <v>8.359</v>
      </c>
      <c r="FE16" s="36">
        <f t="shared" si="50"/>
        <v>13.363</v>
      </c>
      <c r="FF16" s="71">
        <f t="shared" si="51"/>
        <v>21.722000000000001</v>
      </c>
      <c r="FH16" s="32">
        <f t="shared" si="52"/>
        <v>5217.3329999999996</v>
      </c>
      <c r="FI16" s="33">
        <f t="shared" si="53"/>
        <v>2760.7590000000005</v>
      </c>
      <c r="FJ16" s="34">
        <f t="shared" si="54"/>
        <v>7978.0920000000006</v>
      </c>
      <c r="FL16" s="48">
        <v>0.65395748757973704</v>
      </c>
      <c r="FM16" s="6">
        <v>0.34604251242026296</v>
      </c>
      <c r="FN16" s="41">
        <f t="shared" si="55"/>
        <v>1</v>
      </c>
      <c r="FO16" s="59"/>
      <c r="FP16" s="65">
        <f t="shared" si="56"/>
        <v>1063.268</v>
      </c>
      <c r="FQ16" s="33">
        <v>1006.2750000000001</v>
      </c>
      <c r="FR16" s="34">
        <f t="shared" si="57"/>
        <v>1120.261</v>
      </c>
      <c r="FT16" s="65">
        <f t="shared" si="58"/>
        <v>7603.5149999999994</v>
      </c>
      <c r="FU16" s="33">
        <v>7228.9380000000001</v>
      </c>
      <c r="FV16" s="34">
        <f t="shared" si="59"/>
        <v>7978.0919999999996</v>
      </c>
      <c r="FX16" s="65">
        <f t="shared" si="60"/>
        <v>3168.7910000000002</v>
      </c>
      <c r="FY16" s="33">
        <v>3053.625</v>
      </c>
      <c r="FZ16" s="34">
        <f t="shared" si="61"/>
        <v>3283.9569999999999</v>
      </c>
      <c r="GB16" s="65">
        <f t="shared" si="62"/>
        <v>10772.306</v>
      </c>
      <c r="GC16" s="59">
        <f t="shared" si="63"/>
        <v>10282.563</v>
      </c>
      <c r="GD16" s="73">
        <f t="shared" si="63"/>
        <v>11262.048999999999</v>
      </c>
      <c r="GF16" s="65">
        <f t="shared" si="64"/>
        <v>6606.6360000000004</v>
      </c>
      <c r="GG16" s="33">
        <v>5939.7280000000001</v>
      </c>
      <c r="GH16" s="34">
        <f t="shared" si="65"/>
        <v>7273.5439999999999</v>
      </c>
      <c r="GI16" s="33"/>
      <c r="GJ16" s="65">
        <f t="shared" si="66"/>
        <v>9232.155999999999</v>
      </c>
      <c r="GK16" s="33">
        <v>8551.3230000000003</v>
      </c>
      <c r="GL16" s="34">
        <f t="shared" si="67"/>
        <v>9912.9889999999996</v>
      </c>
      <c r="GM16" s="33"/>
      <c r="GN16" s="76">
        <f t="shared" si="68"/>
        <v>0.43347026815020173</v>
      </c>
      <c r="GO16" s="67"/>
    </row>
    <row r="17" spans="2:197" s="1" customFormat="1" x14ac:dyDescent="0.2">
      <c r="B17" s="77" t="s">
        <v>184</v>
      </c>
      <c r="C17" s="32">
        <v>4026.74</v>
      </c>
      <c r="D17" s="33">
        <v>3938.0654999999997</v>
      </c>
      <c r="E17" s="33">
        <v>3002.3219999999997</v>
      </c>
      <c r="F17" s="33">
        <v>1437.5170000000001</v>
      </c>
      <c r="G17" s="33">
        <v>2994.3429999999998</v>
      </c>
      <c r="H17" s="33">
        <v>5464.2569999999996</v>
      </c>
      <c r="I17" s="34">
        <v>4439.8389999999999</v>
      </c>
      <c r="J17" s="33"/>
      <c r="K17" s="35">
        <v>48.137</v>
      </c>
      <c r="L17" s="36">
        <v>15.431100000000001</v>
      </c>
      <c r="M17" s="36">
        <v>1.28</v>
      </c>
      <c r="N17" s="37">
        <f t="shared" si="0"/>
        <v>64.848100000000002</v>
      </c>
      <c r="O17" s="36">
        <v>33.304000000000002</v>
      </c>
      <c r="P17" s="37">
        <f t="shared" si="1"/>
        <v>31.5441</v>
      </c>
      <c r="Q17" s="36">
        <v>1.3260000000000001</v>
      </c>
      <c r="R17" s="37">
        <f t="shared" si="2"/>
        <v>30.2181</v>
      </c>
      <c r="S17" s="36">
        <v>7.0190000000000001</v>
      </c>
      <c r="T17" s="36">
        <v>-0.47099999999999997</v>
      </c>
      <c r="U17" s="36">
        <v>-1.1000000000000001</v>
      </c>
      <c r="V17" s="37">
        <f t="shared" si="3"/>
        <v>35.6661</v>
      </c>
      <c r="W17" s="36">
        <v>7.9150000000000009</v>
      </c>
      <c r="X17" s="38">
        <f t="shared" si="4"/>
        <v>27.751100000000001</v>
      </c>
      <c r="Y17" s="36"/>
      <c r="Z17" s="39">
        <f t="shared" si="5"/>
        <v>2.4447028623571652E-2</v>
      </c>
      <c r="AA17" s="40">
        <f t="shared" si="6"/>
        <v>7.8368935204353521E-3</v>
      </c>
      <c r="AB17" s="6">
        <f t="shared" si="7"/>
        <v>0.46646805637842964</v>
      </c>
      <c r="AC17" s="6">
        <f t="shared" si="8"/>
        <v>0.46341093490623664</v>
      </c>
      <c r="AD17" s="6">
        <f t="shared" si="9"/>
        <v>0.51356940295860631</v>
      </c>
      <c r="AE17" s="40">
        <f t="shared" si="10"/>
        <v>1.6913888303787736E-2</v>
      </c>
      <c r="AF17" s="40">
        <f t="shared" si="11"/>
        <v>1.4093772691185559E-2</v>
      </c>
      <c r="AG17" s="40">
        <f t="shared" si="12"/>
        <v>2.9814894447370607E-2</v>
      </c>
      <c r="AH17" s="40">
        <f t="shared" si="13"/>
        <v>4.0924934174814187E-2</v>
      </c>
      <c r="AI17" s="40">
        <f t="shared" si="14"/>
        <v>3.2465360360493446E-2</v>
      </c>
      <c r="AJ17" s="41">
        <f t="shared" si="15"/>
        <v>0.11638316432232036</v>
      </c>
      <c r="AK17" s="42"/>
      <c r="AL17" s="48">
        <f t="shared" si="16"/>
        <v>4.3250645533319317E-2</v>
      </c>
      <c r="AM17" s="6">
        <f t="shared" si="17"/>
        <v>4.9564403157979636E-2</v>
      </c>
      <c r="AN17" s="41">
        <f t="shared" si="18"/>
        <v>1.8913759544841913E-2</v>
      </c>
      <c r="AO17" s="36"/>
      <c r="AP17" s="48">
        <f t="shared" si="19"/>
        <v>0.99734239032322325</v>
      </c>
      <c r="AQ17" s="6">
        <f t="shared" si="20"/>
        <v>0.86135969931231449</v>
      </c>
      <c r="AR17" s="6">
        <f t="shared" si="21"/>
        <v>-7.8058429399464613E-2</v>
      </c>
      <c r="AS17" s="6">
        <f t="shared" si="22"/>
        <v>0.27827460923724895</v>
      </c>
      <c r="AT17" s="6">
        <f t="shared" si="23"/>
        <v>0.19774706089789759</v>
      </c>
      <c r="AU17" s="69">
        <v>4.3899999999999997</v>
      </c>
      <c r="AV17" s="70">
        <v>1.44</v>
      </c>
      <c r="AW17" s="36"/>
      <c r="AX17" s="48">
        <f t="shared" si="24"/>
        <v>0.12545831118969689</v>
      </c>
      <c r="AY17" s="6">
        <v>9.7000000000000003E-2</v>
      </c>
      <c r="AZ17" s="6">
        <f t="shared" si="25"/>
        <v>0.18305047405484087</v>
      </c>
      <c r="BA17" s="6">
        <f t="shared" si="26"/>
        <v>0.20403215442516753</v>
      </c>
      <c r="BB17" s="41">
        <f t="shared" si="27"/>
        <v>0.22501383479549417</v>
      </c>
      <c r="BC17" s="6"/>
      <c r="BD17" s="48">
        <v>0.183</v>
      </c>
      <c r="BE17" s="6">
        <v>0.20399999999999999</v>
      </c>
      <c r="BF17" s="41">
        <v>0.22500000000000001</v>
      </c>
      <c r="BG17" s="6"/>
      <c r="BH17" s="48"/>
      <c r="BI17" s="78">
        <v>2.1000000000000001E-2</v>
      </c>
      <c r="BJ17" s="79">
        <f>BI17*56.25%</f>
        <v>1.18125E-2</v>
      </c>
      <c r="BK17" s="78">
        <f>BI17*75%</f>
        <v>1.575E-2</v>
      </c>
      <c r="BL17" s="80">
        <v>1.4999999999999999E-2</v>
      </c>
      <c r="BM17" s="6"/>
      <c r="BN17" s="48"/>
      <c r="BO17" s="78">
        <f>BD17-(4.5%+2.5%+3%+2.5%+BJ17)</f>
        <v>4.6187499999999992E-2</v>
      </c>
      <c r="BP17" s="6"/>
      <c r="BQ17" s="48"/>
      <c r="BR17" s="78">
        <f>BE17-(6%+2.5%+3%+2.5%+BK17)</f>
        <v>4.8249999999999987E-2</v>
      </c>
      <c r="BS17" s="6"/>
      <c r="BT17" s="48"/>
      <c r="BU17" s="41">
        <f t="shared" si="69"/>
        <v>4.4000000000000011E-2</v>
      </c>
      <c r="BV17" s="36"/>
      <c r="BW17" s="39">
        <f t="shared" si="28"/>
        <v>9.0201397067264167E-4</v>
      </c>
      <c r="BX17" s="6">
        <f t="shared" si="29"/>
        <v>3.4810367504023144E-2</v>
      </c>
      <c r="BY17" s="40">
        <f t="shared" si="30"/>
        <v>1.0851267785400768E-2</v>
      </c>
      <c r="BZ17" s="6">
        <f t="shared" si="31"/>
        <v>6.3486155578983058E-2</v>
      </c>
      <c r="CA17" s="6">
        <f t="shared" si="32"/>
        <v>0.89628494212146481</v>
      </c>
      <c r="CB17" s="41">
        <f t="shared" si="33"/>
        <v>0.92986547485167825</v>
      </c>
      <c r="CC17" s="36"/>
      <c r="CD17" s="35">
        <v>34.018999999999998</v>
      </c>
      <c r="CE17" s="36">
        <v>195.38399999999999</v>
      </c>
      <c r="CF17" s="37">
        <f t="shared" si="34"/>
        <v>229.40299999999999</v>
      </c>
      <c r="CG17" s="33">
        <f t="shared" si="35"/>
        <v>3002.3219999999997</v>
      </c>
      <c r="CH17" s="36">
        <v>2.6059999999999999</v>
      </c>
      <c r="CI17" s="36">
        <v>5.3730000000000002</v>
      </c>
      <c r="CJ17" s="37">
        <f t="shared" si="36"/>
        <v>2994.3429999999994</v>
      </c>
      <c r="CK17" s="36">
        <v>566.87300000000005</v>
      </c>
      <c r="CL17" s="36">
        <v>205.55799999999999</v>
      </c>
      <c r="CM17" s="37">
        <f t="shared" si="37"/>
        <v>772.43100000000004</v>
      </c>
      <c r="CN17" s="36">
        <v>0.90700000000000003</v>
      </c>
      <c r="CO17" s="36">
        <v>0</v>
      </c>
      <c r="CP17" s="36">
        <v>26.905000000000001</v>
      </c>
      <c r="CQ17" s="36">
        <v>2.7510000000005554</v>
      </c>
      <c r="CR17" s="37">
        <f t="shared" si="38"/>
        <v>4026.7400000000002</v>
      </c>
      <c r="CS17" s="36">
        <v>1E-3</v>
      </c>
      <c r="CT17" s="33">
        <v>2994.3429999999998</v>
      </c>
      <c r="CU17" s="37">
        <f t="shared" si="39"/>
        <v>2994.3440000000001</v>
      </c>
      <c r="CV17" s="36">
        <v>401.78</v>
      </c>
      <c r="CW17" s="36">
        <v>45.253999999999792</v>
      </c>
      <c r="CX17" s="37">
        <f t="shared" si="40"/>
        <v>447.03399999999976</v>
      </c>
      <c r="CY17" s="36">
        <v>80.174000000000007</v>
      </c>
      <c r="CZ17" s="36">
        <v>505.18799999999999</v>
      </c>
      <c r="DA17" s="71">
        <f t="shared" si="41"/>
        <v>4026.74</v>
      </c>
      <c r="DB17" s="36"/>
      <c r="DC17" s="72">
        <v>796.27600000000007</v>
      </c>
      <c r="DD17" s="36"/>
      <c r="DE17" s="32">
        <v>240</v>
      </c>
      <c r="DF17" s="33">
        <v>200</v>
      </c>
      <c r="DG17" s="33">
        <v>0</v>
      </c>
      <c r="DH17" s="33">
        <v>0</v>
      </c>
      <c r="DI17" s="33">
        <v>0</v>
      </c>
      <c r="DJ17" s="33">
        <v>40</v>
      </c>
      <c r="DK17" s="34">
        <f t="shared" si="42"/>
        <v>480</v>
      </c>
      <c r="DL17" s="63">
        <f t="shared" si="43"/>
        <v>0.11920312709536747</v>
      </c>
      <c r="DM17" s="63">
        <f t="shared" si="44"/>
        <v>0.29769950381698346</v>
      </c>
      <c r="DN17" s="36"/>
      <c r="DO17" s="65" t="s">
        <v>162</v>
      </c>
      <c r="DP17" s="59">
        <v>30</v>
      </c>
      <c r="DQ17" s="59">
        <v>10767</v>
      </c>
      <c r="DR17" s="73">
        <v>3</v>
      </c>
      <c r="DS17" s="59" t="s">
        <v>163</v>
      </c>
      <c r="DT17" s="75" t="s">
        <v>164</v>
      </c>
      <c r="DU17" s="59"/>
      <c r="DV17" s="63" t="s">
        <v>172</v>
      </c>
      <c r="DW17" s="64"/>
      <c r="DX17" s="32">
        <v>348.97199999999998</v>
      </c>
      <c r="DY17" s="33">
        <v>388.97199999999998</v>
      </c>
      <c r="DZ17" s="34">
        <v>428.97199999999998</v>
      </c>
      <c r="EA17" s="33"/>
      <c r="EB17" s="65">
        <f t="shared" si="45"/>
        <v>1861.5594999999998</v>
      </c>
      <c r="EC17" s="33">
        <v>1816.694</v>
      </c>
      <c r="ED17" s="34">
        <v>1906.425</v>
      </c>
      <c r="EE17" s="33"/>
      <c r="EF17" s="32">
        <v>220.04499999999999</v>
      </c>
      <c r="EG17" s="33">
        <v>7.2039999999999997</v>
      </c>
      <c r="EH17" s="33">
        <v>16.25</v>
      </c>
      <c r="EI17" s="33">
        <v>25.398</v>
      </c>
      <c r="EJ17" s="33">
        <v>42.255000000000003</v>
      </c>
      <c r="EK17" s="33">
        <v>2.37</v>
      </c>
      <c r="EL17" s="33">
        <v>11.399999999999636</v>
      </c>
      <c r="EM17" s="34">
        <v>2819.357</v>
      </c>
      <c r="EN17" s="34">
        <f t="shared" si="46"/>
        <v>3144.2789999999995</v>
      </c>
      <c r="EO17" s="59"/>
      <c r="EP17" s="48">
        <f t="shared" si="47"/>
        <v>6.998265739140834E-2</v>
      </c>
      <c r="EQ17" s="6">
        <f t="shared" si="47"/>
        <v>2.2911452832270929E-3</v>
      </c>
      <c r="ER17" s="6">
        <f t="shared" si="47"/>
        <v>5.1681164425930407E-3</v>
      </c>
      <c r="ES17" s="6">
        <f t="shared" si="47"/>
        <v>8.0775274713217257E-3</v>
      </c>
      <c r="ET17" s="6">
        <f t="shared" si="47"/>
        <v>1.3438692940416551E-2</v>
      </c>
      <c r="EU17" s="6">
        <f t="shared" si="47"/>
        <v>7.5374990578126191E-4</v>
      </c>
      <c r="EV17" s="6">
        <f t="shared" si="47"/>
        <v>3.6256324581882327E-3</v>
      </c>
      <c r="EW17" s="6">
        <f t="shared" si="47"/>
        <v>0.89666247810706379</v>
      </c>
      <c r="EX17" s="63">
        <f t="shared" si="48"/>
        <v>1</v>
      </c>
      <c r="EY17" s="59"/>
      <c r="EZ17" s="35">
        <v>7.4379999999999997</v>
      </c>
      <c r="FA17" s="36">
        <v>25.140999999999998</v>
      </c>
      <c r="FB17" s="71">
        <f t="shared" si="49"/>
        <v>32.579000000000001</v>
      </c>
      <c r="FD17" s="35">
        <f t="shared" si="50"/>
        <v>2.6059999999999999</v>
      </c>
      <c r="FE17" s="36">
        <f t="shared" si="50"/>
        <v>5.3730000000000002</v>
      </c>
      <c r="FF17" s="71">
        <f t="shared" si="51"/>
        <v>7.9790000000000001</v>
      </c>
      <c r="FH17" s="32">
        <f t="shared" si="52"/>
        <v>2690.9360000000001</v>
      </c>
      <c r="FI17" s="33">
        <f t="shared" si="53"/>
        <v>311.38599999999951</v>
      </c>
      <c r="FJ17" s="34">
        <f t="shared" si="54"/>
        <v>3002.3219999999997</v>
      </c>
      <c r="FL17" s="48">
        <v>0.89628494212146481</v>
      </c>
      <c r="FM17" s="6">
        <v>0.10371505787853519</v>
      </c>
      <c r="FN17" s="41">
        <f t="shared" si="55"/>
        <v>1</v>
      </c>
      <c r="FO17" s="59"/>
      <c r="FP17" s="65">
        <f t="shared" si="56"/>
        <v>476.892</v>
      </c>
      <c r="FQ17" s="33">
        <v>448.596</v>
      </c>
      <c r="FR17" s="34">
        <f t="shared" si="57"/>
        <v>505.18799999999999</v>
      </c>
      <c r="FT17" s="65">
        <f t="shared" si="58"/>
        <v>2940.0874999999996</v>
      </c>
      <c r="FU17" s="33">
        <v>2877.8530000000001</v>
      </c>
      <c r="FV17" s="34">
        <f t="shared" si="59"/>
        <v>3002.3219999999997</v>
      </c>
      <c r="FX17" s="65">
        <f t="shared" si="60"/>
        <v>1394.9185</v>
      </c>
      <c r="FY17" s="33">
        <v>1352.32</v>
      </c>
      <c r="FZ17" s="34">
        <f t="shared" si="61"/>
        <v>1437.5170000000001</v>
      </c>
      <c r="GB17" s="65">
        <f t="shared" si="62"/>
        <v>4335.0059999999994</v>
      </c>
      <c r="GC17" s="59">
        <f t="shared" si="63"/>
        <v>4230.1729999999998</v>
      </c>
      <c r="GD17" s="73">
        <f t="shared" si="63"/>
        <v>4439.8389999999999</v>
      </c>
      <c r="GF17" s="65">
        <f t="shared" si="64"/>
        <v>2966.5515</v>
      </c>
      <c r="GG17" s="33">
        <v>2938.76</v>
      </c>
      <c r="GH17" s="34">
        <f t="shared" si="65"/>
        <v>2994.3429999999998</v>
      </c>
      <c r="GI17" s="33"/>
      <c r="GJ17" s="65">
        <f t="shared" si="66"/>
        <v>3938.0654999999997</v>
      </c>
      <c r="GK17" s="33">
        <v>3849.3910000000001</v>
      </c>
      <c r="GL17" s="34">
        <f t="shared" si="67"/>
        <v>4026.74</v>
      </c>
      <c r="GM17" s="33"/>
      <c r="GN17" s="76">
        <f t="shared" si="68"/>
        <v>0.473441294943304</v>
      </c>
      <c r="GO17" s="67"/>
    </row>
    <row r="18" spans="2:197" s="1" customFormat="1" x14ac:dyDescent="0.2">
      <c r="B18" s="77" t="s">
        <v>185</v>
      </c>
      <c r="C18" s="32">
        <v>1888.508</v>
      </c>
      <c r="D18" s="33">
        <v>1848.664</v>
      </c>
      <c r="E18" s="33">
        <v>1428.5330000000001</v>
      </c>
      <c r="F18" s="33">
        <v>507.11</v>
      </c>
      <c r="G18" s="33">
        <v>1272.9190000000001</v>
      </c>
      <c r="H18" s="33">
        <v>2395.6179999999999</v>
      </c>
      <c r="I18" s="34">
        <v>1935.643</v>
      </c>
      <c r="J18" s="33"/>
      <c r="K18" s="35">
        <v>23.704000000000001</v>
      </c>
      <c r="L18" s="36">
        <v>6.0289999999999999</v>
      </c>
      <c r="M18" s="36">
        <v>5.7999999999999996E-2</v>
      </c>
      <c r="N18" s="37">
        <f t="shared" si="0"/>
        <v>29.791</v>
      </c>
      <c r="O18" s="36">
        <v>13.529</v>
      </c>
      <c r="P18" s="37">
        <f t="shared" si="1"/>
        <v>16.262</v>
      </c>
      <c r="Q18" s="36">
        <v>1.4</v>
      </c>
      <c r="R18" s="37">
        <f t="shared" si="2"/>
        <v>14.862</v>
      </c>
      <c r="S18" s="36">
        <v>2.6500000000000004</v>
      </c>
      <c r="T18" s="36">
        <v>-8.0000000000000016E-2</v>
      </c>
      <c r="U18" s="36">
        <v>-2.3109999999999999</v>
      </c>
      <c r="V18" s="37">
        <f t="shared" si="3"/>
        <v>15.121000000000002</v>
      </c>
      <c r="W18" s="36">
        <v>3.2709999999999999</v>
      </c>
      <c r="X18" s="38">
        <f t="shared" si="4"/>
        <v>11.850000000000001</v>
      </c>
      <c r="Y18" s="36"/>
      <c r="Z18" s="39">
        <f t="shared" si="5"/>
        <v>2.5644465408532865E-2</v>
      </c>
      <c r="AA18" s="40">
        <f t="shared" si="6"/>
        <v>6.522548175330942E-3</v>
      </c>
      <c r="AB18" s="6">
        <f t="shared" si="7"/>
        <v>0.41806495472945826</v>
      </c>
      <c r="AC18" s="6">
        <f t="shared" si="8"/>
        <v>0.41703400018495113</v>
      </c>
      <c r="AD18" s="6">
        <f t="shared" si="9"/>
        <v>0.45413044207982278</v>
      </c>
      <c r="AE18" s="40">
        <f t="shared" si="10"/>
        <v>1.4636515883903186E-2</v>
      </c>
      <c r="AF18" s="40">
        <f t="shared" si="11"/>
        <v>1.2820068979544148E-2</v>
      </c>
      <c r="AG18" s="40">
        <f t="shared" si="12"/>
        <v>2.937206976424267E-2</v>
      </c>
      <c r="AH18" s="40">
        <f t="shared" si="13"/>
        <v>4.6678043696220917E-2</v>
      </c>
      <c r="AI18" s="40">
        <f t="shared" si="14"/>
        <v>3.6837780661280545E-2</v>
      </c>
      <c r="AJ18" s="41">
        <f t="shared" si="15"/>
        <v>0.11438334346856632</v>
      </c>
      <c r="AK18" s="42"/>
      <c r="AL18" s="48">
        <f t="shared" si="16"/>
        <v>7.4252258808862491E-3</v>
      </c>
      <c r="AM18" s="6">
        <f t="shared" si="17"/>
        <v>2.4215846257342349E-3</v>
      </c>
      <c r="AN18" s="41">
        <f t="shared" si="18"/>
        <v>1.4692802569600319E-4</v>
      </c>
      <c r="AO18" s="36"/>
      <c r="AP18" s="48">
        <f t="shared" si="19"/>
        <v>0.89106726970955519</v>
      </c>
      <c r="AQ18" s="6">
        <f t="shared" si="20"/>
        <v>0.76460867925117637</v>
      </c>
      <c r="AR18" s="6">
        <f t="shared" si="21"/>
        <v>1.9012892717425643E-2</v>
      </c>
      <c r="AS18" s="6">
        <f t="shared" si="22"/>
        <v>0.32053981238099077</v>
      </c>
      <c r="AT18" s="6">
        <f t="shared" si="23"/>
        <v>0.18849430343954057</v>
      </c>
      <c r="AU18" s="69">
        <v>3.5</v>
      </c>
      <c r="AV18" s="70">
        <v>1.46</v>
      </c>
      <c r="AW18" s="36"/>
      <c r="AX18" s="48">
        <f t="shared" si="24"/>
        <v>0.11426851249769659</v>
      </c>
      <c r="AY18" s="6">
        <v>9.1200000000000003E-2</v>
      </c>
      <c r="AZ18" s="6">
        <f t="shared" si="25"/>
        <v>0.19026997909871265</v>
      </c>
      <c r="BA18" s="6">
        <f t="shared" si="26"/>
        <v>0.21509336073834667</v>
      </c>
      <c r="BB18" s="41">
        <f t="shared" si="27"/>
        <v>0.23991674237798066</v>
      </c>
      <c r="BC18" s="6"/>
      <c r="BD18" s="48">
        <v>0.19</v>
      </c>
      <c r="BE18" s="6">
        <v>0.21360000000000001</v>
      </c>
      <c r="BF18" s="41">
        <v>0.23749999999999999</v>
      </c>
      <c r="BG18" s="6"/>
      <c r="BH18" s="48"/>
      <c r="BI18" s="41">
        <v>3.5999999999999997E-2</v>
      </c>
      <c r="BJ18" s="48"/>
      <c r="BK18" s="41"/>
      <c r="BL18" s="63"/>
      <c r="BM18" s="6"/>
      <c r="BN18" s="48"/>
      <c r="BO18" s="41">
        <f t="shared" ref="BO18:BO26" si="70">BD18-(4.5%+2.5%+3%+2.5%+BI18)</f>
        <v>2.8999999999999998E-2</v>
      </c>
      <c r="BP18" s="6"/>
      <c r="BQ18" s="48"/>
      <c r="BR18" s="41">
        <f t="shared" ref="BR18:BR26" si="71">BE18-(6%+2.5%+3%+2.5%+BI18)</f>
        <v>3.7600000000000022E-2</v>
      </c>
      <c r="BS18" s="6"/>
      <c r="BT18" s="48"/>
      <c r="BU18" s="41">
        <f t="shared" si="69"/>
        <v>4.1499999999999981E-2</v>
      </c>
      <c r="BV18" s="36"/>
      <c r="BW18" s="39">
        <f t="shared" si="28"/>
        <v>1.9673027260843612E-3</v>
      </c>
      <c r="BX18" s="6">
        <f t="shared" si="29"/>
        <v>7.434154630416312E-2</v>
      </c>
      <c r="BY18" s="40">
        <f t="shared" si="30"/>
        <v>1.0911193511105447E-2</v>
      </c>
      <c r="BZ18" s="6">
        <f t="shared" si="31"/>
        <v>6.9951755862223727E-2</v>
      </c>
      <c r="CA18" s="6">
        <f t="shared" si="32"/>
        <v>0.87510964044932804</v>
      </c>
      <c r="CB18" s="41">
        <f t="shared" si="33"/>
        <v>0.90782907798597168</v>
      </c>
      <c r="CC18" s="36"/>
      <c r="CD18" s="35">
        <v>58.575000000000003</v>
      </c>
      <c r="CE18" s="36">
        <v>92.507000000000005</v>
      </c>
      <c r="CF18" s="37">
        <f t="shared" si="34"/>
        <v>151.08199999999999</v>
      </c>
      <c r="CG18" s="33">
        <f t="shared" si="35"/>
        <v>1428.5330000000001</v>
      </c>
      <c r="CH18" s="36">
        <v>2.226</v>
      </c>
      <c r="CI18" s="36">
        <v>4.8019999999999996</v>
      </c>
      <c r="CJ18" s="37">
        <f t="shared" si="36"/>
        <v>1421.5050000000001</v>
      </c>
      <c r="CK18" s="36">
        <v>204.89099999999999</v>
      </c>
      <c r="CL18" s="36">
        <v>109.137</v>
      </c>
      <c r="CM18" s="37">
        <f t="shared" si="37"/>
        <v>314.02800000000002</v>
      </c>
      <c r="CN18" s="36">
        <v>0</v>
      </c>
      <c r="CO18" s="36">
        <v>0</v>
      </c>
      <c r="CP18" s="36">
        <v>2.661</v>
      </c>
      <c r="CQ18" s="36">
        <v>-0.7680000000001983</v>
      </c>
      <c r="CR18" s="37">
        <f t="shared" si="38"/>
        <v>1888.5079999999998</v>
      </c>
      <c r="CS18" s="36">
        <v>4.0000000000000001E-3</v>
      </c>
      <c r="CT18" s="33">
        <v>1272.9190000000001</v>
      </c>
      <c r="CU18" s="37">
        <f t="shared" si="39"/>
        <v>1272.923</v>
      </c>
      <c r="CV18" s="36">
        <v>351.78300000000002</v>
      </c>
      <c r="CW18" s="36">
        <v>7.9130000000000393</v>
      </c>
      <c r="CX18" s="37">
        <f t="shared" si="40"/>
        <v>359.69600000000003</v>
      </c>
      <c r="CY18" s="36">
        <v>40.091999999999999</v>
      </c>
      <c r="CZ18" s="36">
        <v>215.797</v>
      </c>
      <c r="DA18" s="71">
        <f t="shared" si="41"/>
        <v>1888.5080000000003</v>
      </c>
      <c r="DB18" s="36"/>
      <c r="DC18" s="72">
        <v>355.97299999999996</v>
      </c>
      <c r="DD18" s="36"/>
      <c r="DE18" s="32">
        <v>0</v>
      </c>
      <c r="DF18" s="33">
        <v>140</v>
      </c>
      <c r="DG18" s="33">
        <v>130</v>
      </c>
      <c r="DH18" s="33">
        <v>120</v>
      </c>
      <c r="DI18" s="33">
        <v>0</v>
      </c>
      <c r="DJ18" s="33">
        <v>0</v>
      </c>
      <c r="DK18" s="34">
        <f t="shared" si="42"/>
        <v>390</v>
      </c>
      <c r="DL18" s="63">
        <f t="shared" si="43"/>
        <v>0.20651223081924991</v>
      </c>
      <c r="DM18" s="63">
        <f t="shared" si="44"/>
        <v>0.34077430437149331</v>
      </c>
      <c r="DN18" s="36"/>
      <c r="DO18" s="65" t="s">
        <v>177</v>
      </c>
      <c r="DP18" s="59">
        <v>15.7</v>
      </c>
      <c r="DQ18" s="59">
        <v>4490</v>
      </c>
      <c r="DR18" s="73">
        <v>3</v>
      </c>
      <c r="DS18" s="59" t="s">
        <v>163</v>
      </c>
      <c r="DT18" s="75" t="s">
        <v>164</v>
      </c>
      <c r="DU18" s="62" t="s">
        <v>165</v>
      </c>
      <c r="DV18" s="63">
        <v>0.16951873608932025</v>
      </c>
      <c r="DW18" s="64"/>
      <c r="DX18" s="32">
        <v>153.29900000000001</v>
      </c>
      <c r="DY18" s="33">
        <v>173.29900000000001</v>
      </c>
      <c r="DZ18" s="34">
        <v>193.29900000000001</v>
      </c>
      <c r="EA18" s="33"/>
      <c r="EB18" s="65">
        <f t="shared" si="45"/>
        <v>806.88900000000001</v>
      </c>
      <c r="EC18" s="33">
        <v>808.08600000000001</v>
      </c>
      <c r="ED18" s="34">
        <v>805.69200000000001</v>
      </c>
      <c r="EE18" s="33"/>
      <c r="EF18" s="32">
        <v>27.23</v>
      </c>
      <c r="EG18" s="33">
        <v>14.760999999999999</v>
      </c>
      <c r="EH18" s="33">
        <v>16.282</v>
      </c>
      <c r="EI18" s="33">
        <v>8.4969999999999999</v>
      </c>
      <c r="EJ18" s="33">
        <v>132.08799999999999</v>
      </c>
      <c r="EK18" s="33">
        <v>11.288</v>
      </c>
      <c r="EL18" s="33">
        <v>4.0919999999998709</v>
      </c>
      <c r="EM18" s="34">
        <v>1234.1320000000001</v>
      </c>
      <c r="EN18" s="34">
        <f t="shared" si="46"/>
        <v>1448.37</v>
      </c>
      <c r="EO18" s="59"/>
      <c r="EP18" s="48">
        <f t="shared" si="47"/>
        <v>1.8800444637765215E-2</v>
      </c>
      <c r="EQ18" s="6">
        <f t="shared" si="47"/>
        <v>1.0191456602939858E-2</v>
      </c>
      <c r="ER18" s="6">
        <f t="shared" si="47"/>
        <v>1.1241602629162439E-2</v>
      </c>
      <c r="ES18" s="6">
        <f t="shared" si="47"/>
        <v>5.8665948618101729E-3</v>
      </c>
      <c r="ET18" s="6">
        <f t="shared" si="47"/>
        <v>9.1197691197691194E-2</v>
      </c>
      <c r="EU18" s="6">
        <f t="shared" si="47"/>
        <v>7.7935886548326748E-3</v>
      </c>
      <c r="EV18" s="6">
        <f t="shared" si="47"/>
        <v>2.8252449305079994E-3</v>
      </c>
      <c r="EW18" s="6">
        <f t="shared" si="47"/>
        <v>0.85208337648529042</v>
      </c>
      <c r="EX18" s="63">
        <f t="shared" si="48"/>
        <v>1</v>
      </c>
      <c r="EY18" s="59"/>
      <c r="EZ18" s="35">
        <v>7.2569999999999997</v>
      </c>
      <c r="FA18" s="36">
        <v>8.33</v>
      </c>
      <c r="FB18" s="71">
        <f t="shared" si="49"/>
        <v>15.587</v>
      </c>
      <c r="FD18" s="35">
        <f t="shared" si="50"/>
        <v>2.226</v>
      </c>
      <c r="FE18" s="36">
        <f t="shared" si="50"/>
        <v>4.8019999999999996</v>
      </c>
      <c r="FF18" s="71">
        <f t="shared" si="51"/>
        <v>7.0279999999999996</v>
      </c>
      <c r="FH18" s="32">
        <f t="shared" si="52"/>
        <v>1250.123</v>
      </c>
      <c r="FI18" s="33">
        <f t="shared" si="53"/>
        <v>178.41000000000008</v>
      </c>
      <c r="FJ18" s="34">
        <f t="shared" si="54"/>
        <v>1428.5330000000001</v>
      </c>
      <c r="FL18" s="48">
        <v>0.87510964044932804</v>
      </c>
      <c r="FM18" s="6">
        <v>0.12489035955067196</v>
      </c>
      <c r="FN18" s="41">
        <f t="shared" si="55"/>
        <v>1</v>
      </c>
      <c r="FO18" s="59"/>
      <c r="FP18" s="65">
        <f t="shared" si="56"/>
        <v>207.19799999999998</v>
      </c>
      <c r="FQ18" s="33">
        <v>198.59899999999999</v>
      </c>
      <c r="FR18" s="34">
        <f t="shared" si="57"/>
        <v>215.797</v>
      </c>
      <c r="FT18" s="65">
        <f t="shared" si="58"/>
        <v>1423.2685000000001</v>
      </c>
      <c r="FU18" s="33">
        <v>1418.0039999999999</v>
      </c>
      <c r="FV18" s="34">
        <f t="shared" si="59"/>
        <v>1428.5330000000001</v>
      </c>
      <c r="FX18" s="65">
        <f t="shared" si="60"/>
        <v>510.03649999999999</v>
      </c>
      <c r="FY18" s="33">
        <v>512.96299999999997</v>
      </c>
      <c r="FZ18" s="34">
        <f t="shared" si="61"/>
        <v>507.11</v>
      </c>
      <c r="GB18" s="65">
        <f t="shared" si="62"/>
        <v>1933.3049999999998</v>
      </c>
      <c r="GC18" s="59">
        <f t="shared" si="63"/>
        <v>1930.9669999999999</v>
      </c>
      <c r="GD18" s="73">
        <f t="shared" si="63"/>
        <v>1935.643</v>
      </c>
      <c r="GF18" s="65">
        <f t="shared" si="64"/>
        <v>1272.8254999999999</v>
      </c>
      <c r="GG18" s="33">
        <v>1272.732</v>
      </c>
      <c r="GH18" s="34">
        <f t="shared" si="65"/>
        <v>1272.9190000000001</v>
      </c>
      <c r="GI18" s="33"/>
      <c r="GJ18" s="65">
        <f t="shared" si="66"/>
        <v>1848.664</v>
      </c>
      <c r="GK18" s="33">
        <v>1808.82</v>
      </c>
      <c r="GL18" s="34">
        <f t="shared" si="67"/>
        <v>1888.508</v>
      </c>
      <c r="GM18" s="33"/>
      <c r="GN18" s="76">
        <f t="shared" si="68"/>
        <v>0.42662885198262329</v>
      </c>
      <c r="GO18" s="67"/>
    </row>
    <row r="19" spans="2:197" s="1" customFormat="1" x14ac:dyDescent="0.2">
      <c r="B19" s="77" t="s">
        <v>186</v>
      </c>
      <c r="C19" s="32">
        <v>4033.1469999999999</v>
      </c>
      <c r="D19" s="33">
        <v>3819.2784999999999</v>
      </c>
      <c r="E19" s="33">
        <v>3221.8310000000001</v>
      </c>
      <c r="F19" s="33">
        <v>1019.923</v>
      </c>
      <c r="G19" s="33">
        <v>2659.7069999999999</v>
      </c>
      <c r="H19" s="33">
        <v>5053.07</v>
      </c>
      <c r="I19" s="34">
        <v>4241.7539999999999</v>
      </c>
      <c r="J19" s="33"/>
      <c r="K19" s="35">
        <v>50.250999999999998</v>
      </c>
      <c r="L19" s="36">
        <v>8.2710000000000008</v>
      </c>
      <c r="M19" s="36">
        <v>0.34</v>
      </c>
      <c r="N19" s="37">
        <f t="shared" si="0"/>
        <v>58.862000000000002</v>
      </c>
      <c r="O19" s="36">
        <v>29.129000000000001</v>
      </c>
      <c r="P19" s="37">
        <f t="shared" si="1"/>
        <v>29.733000000000001</v>
      </c>
      <c r="Q19" s="36">
        <v>1.036</v>
      </c>
      <c r="R19" s="37">
        <f t="shared" si="2"/>
        <v>28.696999999999999</v>
      </c>
      <c r="S19" s="36">
        <v>2.964</v>
      </c>
      <c r="T19" s="36">
        <v>-0.26200000000000001</v>
      </c>
      <c r="U19" s="36">
        <v>0</v>
      </c>
      <c r="V19" s="37">
        <f t="shared" si="3"/>
        <v>31.398999999999997</v>
      </c>
      <c r="W19" s="36">
        <v>7.2460000000000004</v>
      </c>
      <c r="X19" s="38">
        <f t="shared" si="4"/>
        <v>24.152999999999999</v>
      </c>
      <c r="Y19" s="36"/>
      <c r="Z19" s="39">
        <f t="shared" si="5"/>
        <v>2.6314394197752271E-2</v>
      </c>
      <c r="AA19" s="40">
        <f t="shared" si="6"/>
        <v>4.3311845417923836E-3</v>
      </c>
      <c r="AB19" s="6">
        <f t="shared" si="7"/>
        <v>0.47314989279449032</v>
      </c>
      <c r="AC19" s="6">
        <f t="shared" si="8"/>
        <v>0.47114482580144279</v>
      </c>
      <c r="AD19" s="6">
        <f t="shared" si="9"/>
        <v>0.49486935544154126</v>
      </c>
      <c r="AE19" s="40">
        <f t="shared" si="10"/>
        <v>1.5253666366566356E-2</v>
      </c>
      <c r="AF19" s="40">
        <f t="shared" si="11"/>
        <v>1.2647938609347289E-2</v>
      </c>
      <c r="AG19" s="40">
        <f t="shared" si="12"/>
        <v>2.5731080749602963E-2</v>
      </c>
      <c r="AH19" s="40">
        <f t="shared" si="13"/>
        <v>3.4554200476684976E-2</v>
      </c>
      <c r="AI19" s="40">
        <f t="shared" si="14"/>
        <v>3.0571971360549673E-2</v>
      </c>
      <c r="AJ19" s="41">
        <f t="shared" si="15"/>
        <v>0.11019207080614991</v>
      </c>
      <c r="AK19" s="42"/>
      <c r="AL19" s="48">
        <f t="shared" si="16"/>
        <v>0.12449535536719906</v>
      </c>
      <c r="AM19" s="6">
        <f t="shared" si="17"/>
        <v>0.11540569252776837</v>
      </c>
      <c r="AN19" s="41">
        <f t="shared" si="18"/>
        <v>0.16594240223745318</v>
      </c>
      <c r="AO19" s="36"/>
      <c r="AP19" s="48">
        <f t="shared" si="19"/>
        <v>0.82552654065343578</v>
      </c>
      <c r="AQ19" s="6">
        <f t="shared" si="20"/>
        <v>0.75779402940678708</v>
      </c>
      <c r="AR19" s="6">
        <f t="shared" si="21"/>
        <v>6.1651608532989274E-2</v>
      </c>
      <c r="AS19" s="6">
        <f t="shared" si="22"/>
        <v>0.31981613861334585</v>
      </c>
      <c r="AT19" s="6">
        <f t="shared" si="23"/>
        <v>0.14912548439221282</v>
      </c>
      <c r="AU19" s="69">
        <v>12.4132</v>
      </c>
      <c r="AV19" s="70">
        <v>1.39</v>
      </c>
      <c r="AW19" s="36"/>
      <c r="AX19" s="48">
        <f t="shared" si="24"/>
        <v>0.11910649425870169</v>
      </c>
      <c r="AY19" s="6">
        <v>0.10310000000000001</v>
      </c>
      <c r="AZ19" s="6">
        <f t="shared" si="25"/>
        <v>0.19606765791600625</v>
      </c>
      <c r="BA19" s="6">
        <f t="shared" si="26"/>
        <v>0.21109999999999995</v>
      </c>
      <c r="BB19" s="41">
        <f t="shared" si="27"/>
        <v>0.23120000000000002</v>
      </c>
      <c r="BC19" s="6"/>
      <c r="BD19" s="48">
        <v>0.18260000000000001</v>
      </c>
      <c r="BE19" s="6">
        <v>0.19820000000000002</v>
      </c>
      <c r="BF19" s="41">
        <v>0.21809999999999999</v>
      </c>
      <c r="BG19" s="6"/>
      <c r="BH19" s="48"/>
      <c r="BI19" s="41">
        <v>2.4E-2</v>
      </c>
      <c r="BJ19" s="48"/>
      <c r="BK19" s="41"/>
      <c r="BL19" s="63"/>
      <c r="BM19" s="6"/>
      <c r="BN19" s="48"/>
      <c r="BO19" s="41">
        <f t="shared" si="70"/>
        <v>3.3600000000000019E-2</v>
      </c>
      <c r="BP19" s="6"/>
      <c r="BQ19" s="48"/>
      <c r="BR19" s="41">
        <f t="shared" si="71"/>
        <v>3.4200000000000036E-2</v>
      </c>
      <c r="BS19" s="6"/>
      <c r="BT19" s="48"/>
      <c r="BU19" s="41">
        <f t="shared" si="69"/>
        <v>3.4099999999999991E-2</v>
      </c>
      <c r="BV19" s="36"/>
      <c r="BW19" s="39">
        <f t="shared" si="28"/>
        <v>6.807989398987936E-4</v>
      </c>
      <c r="BX19" s="6">
        <f t="shared" si="29"/>
        <v>3.1940804686295669E-2</v>
      </c>
      <c r="BY19" s="40">
        <f t="shared" si="30"/>
        <v>5.7361792098964848E-3</v>
      </c>
      <c r="BZ19" s="6">
        <f t="shared" si="31"/>
        <v>3.7984387781527601E-2</v>
      </c>
      <c r="CA19" s="6">
        <f t="shared" si="32"/>
        <v>0.76454661960853931</v>
      </c>
      <c r="CB19" s="41">
        <f t="shared" si="33"/>
        <v>0.82116101028018118</v>
      </c>
      <c r="CC19" s="36"/>
      <c r="CD19" s="35">
        <v>230.178</v>
      </c>
      <c r="CE19" s="36">
        <v>182.87700000000001</v>
      </c>
      <c r="CF19" s="37">
        <f t="shared" si="34"/>
        <v>413.05500000000001</v>
      </c>
      <c r="CG19" s="33">
        <f t="shared" si="35"/>
        <v>3221.8310000000001</v>
      </c>
      <c r="CH19" s="36">
        <v>0.54600000000000004</v>
      </c>
      <c r="CI19" s="36">
        <v>5.6219999999999999</v>
      </c>
      <c r="CJ19" s="37">
        <f t="shared" si="36"/>
        <v>3215.6630000000005</v>
      </c>
      <c r="CK19" s="36">
        <v>188.39</v>
      </c>
      <c r="CL19" s="36">
        <v>137.51400000000001</v>
      </c>
      <c r="CM19" s="37">
        <f t="shared" si="37"/>
        <v>325.904</v>
      </c>
      <c r="CN19" s="36">
        <v>14.835000000000001</v>
      </c>
      <c r="CO19" s="36">
        <v>0</v>
      </c>
      <c r="CP19" s="36">
        <v>9.7949999999999999</v>
      </c>
      <c r="CQ19" s="36">
        <v>53.894999999999634</v>
      </c>
      <c r="CR19" s="37">
        <f t="shared" si="38"/>
        <v>4033.1469999999999</v>
      </c>
      <c r="CS19" s="36">
        <v>145.666</v>
      </c>
      <c r="CT19" s="33">
        <v>2659.7069999999999</v>
      </c>
      <c r="CU19" s="37">
        <f t="shared" si="39"/>
        <v>2805.373</v>
      </c>
      <c r="CV19" s="36">
        <v>634.23800000000006</v>
      </c>
      <c r="CW19" s="36">
        <v>42.970999999999833</v>
      </c>
      <c r="CX19" s="37">
        <f t="shared" si="40"/>
        <v>677.20899999999983</v>
      </c>
      <c r="CY19" s="36">
        <v>70.191000000000003</v>
      </c>
      <c r="CZ19" s="36">
        <v>480.37399999999997</v>
      </c>
      <c r="DA19" s="71">
        <f t="shared" si="41"/>
        <v>4033.1469999999995</v>
      </c>
      <c r="DB19" s="36"/>
      <c r="DC19" s="72">
        <v>601.44499999999994</v>
      </c>
      <c r="DD19" s="36"/>
      <c r="DE19" s="32">
        <v>160</v>
      </c>
      <c r="DF19" s="33">
        <v>235</v>
      </c>
      <c r="DG19" s="33">
        <v>250</v>
      </c>
      <c r="DH19" s="33">
        <v>205</v>
      </c>
      <c r="DI19" s="33">
        <v>0</v>
      </c>
      <c r="DJ19" s="33">
        <v>0</v>
      </c>
      <c r="DK19" s="34">
        <f t="shared" si="42"/>
        <v>850</v>
      </c>
      <c r="DL19" s="63">
        <f t="shared" si="43"/>
        <v>0.21075353811800066</v>
      </c>
      <c r="DM19" s="63">
        <f t="shared" si="44"/>
        <v>0.33719611509325098</v>
      </c>
      <c r="DN19" s="36"/>
      <c r="DO19" s="65" t="s">
        <v>187</v>
      </c>
      <c r="DP19" s="59">
        <v>25</v>
      </c>
      <c r="DQ19" s="59">
        <v>8705</v>
      </c>
      <c r="DR19" s="73">
        <v>3</v>
      </c>
      <c r="DS19" s="59" t="s">
        <v>163</v>
      </c>
      <c r="DT19" s="75" t="s">
        <v>164</v>
      </c>
      <c r="DU19" s="62" t="s">
        <v>165</v>
      </c>
      <c r="DV19" s="63">
        <v>0.10925952795511704</v>
      </c>
      <c r="DW19" s="64"/>
      <c r="DX19" s="32">
        <v>391.29163669999991</v>
      </c>
      <c r="DY19" s="33">
        <v>421.29163669999991</v>
      </c>
      <c r="DZ19" s="34">
        <v>461.40514640000004</v>
      </c>
      <c r="EA19" s="33"/>
      <c r="EB19" s="65">
        <f t="shared" si="45"/>
        <v>1877.3404999999998</v>
      </c>
      <c r="EC19" s="33">
        <v>1758.9839999999999</v>
      </c>
      <c r="ED19" s="34">
        <v>1995.6969999999999</v>
      </c>
      <c r="EE19" s="33"/>
      <c r="EF19" s="32">
        <v>191.471</v>
      </c>
      <c r="EG19" s="33">
        <v>14.582000000000001</v>
      </c>
      <c r="EH19" s="33">
        <v>207.88499999999999</v>
      </c>
      <c r="EI19" s="33">
        <v>5.0250000000000004</v>
      </c>
      <c r="EJ19" s="33">
        <v>320.44799999999998</v>
      </c>
      <c r="EK19" s="33">
        <v>3.1019999999999999</v>
      </c>
      <c r="EL19" s="33">
        <v>34.058999999999742</v>
      </c>
      <c r="EM19" s="34">
        <v>2343.5030000000002</v>
      </c>
      <c r="EN19" s="34">
        <f t="shared" si="46"/>
        <v>3120.0749999999998</v>
      </c>
      <c r="EO19" s="59"/>
      <c r="EP19" s="48">
        <f t="shared" si="47"/>
        <v>6.1367435077682435E-2</v>
      </c>
      <c r="EQ19" s="6">
        <f t="shared" si="47"/>
        <v>4.6736056024294292E-3</v>
      </c>
      <c r="ER19" s="6">
        <f t="shared" si="47"/>
        <v>6.6628206052739114E-2</v>
      </c>
      <c r="ES19" s="6">
        <f t="shared" si="47"/>
        <v>1.6105382082161489E-3</v>
      </c>
      <c r="ET19" s="6">
        <f t="shared" si="47"/>
        <v>0.10270522343212904</v>
      </c>
      <c r="EU19" s="6">
        <f t="shared" si="47"/>
        <v>9.9420687002716281E-4</v>
      </c>
      <c r="EV19" s="6">
        <f t="shared" si="47"/>
        <v>1.0916083747986745E-2</v>
      </c>
      <c r="EW19" s="6">
        <f t="shared" si="47"/>
        <v>0.7511047010087899</v>
      </c>
      <c r="EX19" s="63">
        <f t="shared" si="48"/>
        <v>1</v>
      </c>
      <c r="EY19" s="59"/>
      <c r="EZ19" s="35">
        <v>0</v>
      </c>
      <c r="FA19" s="36">
        <v>18.481000000000002</v>
      </c>
      <c r="FB19" s="71">
        <f t="shared" si="49"/>
        <v>18.481000000000002</v>
      </c>
      <c r="FD19" s="35">
        <f t="shared" si="50"/>
        <v>0.54600000000000004</v>
      </c>
      <c r="FE19" s="36">
        <f t="shared" si="50"/>
        <v>5.6219999999999999</v>
      </c>
      <c r="FF19" s="71">
        <f t="shared" si="51"/>
        <v>6.1680000000000001</v>
      </c>
      <c r="FH19" s="32">
        <f t="shared" si="52"/>
        <v>2463.2399999999998</v>
      </c>
      <c r="FI19" s="33">
        <f t="shared" si="53"/>
        <v>758.59100000000024</v>
      </c>
      <c r="FJ19" s="34">
        <f t="shared" si="54"/>
        <v>3221.8310000000001</v>
      </c>
      <c r="FL19" s="48">
        <v>0.76454661960853931</v>
      </c>
      <c r="FM19" s="6">
        <v>0.23545338039146069</v>
      </c>
      <c r="FN19" s="41">
        <f t="shared" si="55"/>
        <v>1</v>
      </c>
      <c r="FO19" s="59"/>
      <c r="FP19" s="65">
        <f t="shared" si="56"/>
        <v>438.38</v>
      </c>
      <c r="FQ19" s="33">
        <v>396.38600000000002</v>
      </c>
      <c r="FR19" s="34">
        <f t="shared" si="57"/>
        <v>480.37399999999997</v>
      </c>
      <c r="FT19" s="65">
        <f t="shared" si="58"/>
        <v>3043.4830000000002</v>
      </c>
      <c r="FU19" s="33">
        <v>2865.1350000000002</v>
      </c>
      <c r="FV19" s="34">
        <f t="shared" si="59"/>
        <v>3221.8310000000001</v>
      </c>
      <c r="FX19" s="65">
        <f t="shared" si="60"/>
        <v>978.83400000000006</v>
      </c>
      <c r="FY19" s="33">
        <v>937.745</v>
      </c>
      <c r="FZ19" s="34">
        <f t="shared" si="61"/>
        <v>1019.923</v>
      </c>
      <c r="GB19" s="65">
        <f t="shared" si="62"/>
        <v>4022.317</v>
      </c>
      <c r="GC19" s="59">
        <f t="shared" si="63"/>
        <v>3802.88</v>
      </c>
      <c r="GD19" s="73">
        <f t="shared" si="63"/>
        <v>4241.7539999999999</v>
      </c>
      <c r="GF19" s="65">
        <f t="shared" si="64"/>
        <v>2470.4359999999997</v>
      </c>
      <c r="GG19" s="33">
        <v>2281.165</v>
      </c>
      <c r="GH19" s="34">
        <f t="shared" si="65"/>
        <v>2659.7069999999999</v>
      </c>
      <c r="GI19" s="33"/>
      <c r="GJ19" s="65">
        <f t="shared" si="66"/>
        <v>3819.2784999999999</v>
      </c>
      <c r="GK19" s="33">
        <v>3605.41</v>
      </c>
      <c r="GL19" s="34">
        <f t="shared" si="67"/>
        <v>4033.1469999999999</v>
      </c>
      <c r="GM19" s="33"/>
      <c r="GN19" s="76">
        <f t="shared" si="68"/>
        <v>0.49482376913115239</v>
      </c>
      <c r="GO19" s="67"/>
    </row>
    <row r="20" spans="2:197" s="1" customFormat="1" x14ac:dyDescent="0.2">
      <c r="B20" s="77" t="s">
        <v>188</v>
      </c>
      <c r="C20" s="32">
        <v>4604.1779999999999</v>
      </c>
      <c r="D20" s="33">
        <v>4434.9444999999996</v>
      </c>
      <c r="E20" s="33">
        <v>3614.3620000000001</v>
      </c>
      <c r="F20" s="33">
        <v>1179.616</v>
      </c>
      <c r="G20" s="33">
        <v>3653.3150000000001</v>
      </c>
      <c r="H20" s="33">
        <v>5783.7939999999999</v>
      </c>
      <c r="I20" s="34">
        <v>4793.9780000000001</v>
      </c>
      <c r="J20" s="33"/>
      <c r="K20" s="35">
        <v>52.662999999999997</v>
      </c>
      <c r="L20" s="36">
        <v>10.561999999999999</v>
      </c>
      <c r="M20" s="36">
        <v>0.13700000000000001</v>
      </c>
      <c r="N20" s="37">
        <f t="shared" si="0"/>
        <v>63.361999999999995</v>
      </c>
      <c r="O20" s="36">
        <v>30.115999999999996</v>
      </c>
      <c r="P20" s="37">
        <f t="shared" si="1"/>
        <v>33.245999999999995</v>
      </c>
      <c r="Q20" s="36">
        <v>0.55000000000000004</v>
      </c>
      <c r="R20" s="37">
        <f t="shared" si="2"/>
        <v>32.695999999999998</v>
      </c>
      <c r="S20" s="36">
        <v>7.81</v>
      </c>
      <c r="T20" s="36">
        <v>-0.47699999999999998</v>
      </c>
      <c r="U20" s="36">
        <v>-3.57</v>
      </c>
      <c r="V20" s="37">
        <f t="shared" si="3"/>
        <v>36.459000000000003</v>
      </c>
      <c r="W20" s="36">
        <v>7.4859999999999998</v>
      </c>
      <c r="X20" s="38">
        <f t="shared" si="4"/>
        <v>28.973000000000003</v>
      </c>
      <c r="Y20" s="36"/>
      <c r="Z20" s="39">
        <f t="shared" si="5"/>
        <v>2.3749113433099333E-2</v>
      </c>
      <c r="AA20" s="40">
        <f t="shared" si="6"/>
        <v>4.7630810261548931E-3</v>
      </c>
      <c r="AB20" s="6">
        <f t="shared" si="7"/>
        <v>0.425999009830964</v>
      </c>
      <c r="AC20" s="6">
        <f t="shared" si="8"/>
        <v>0.42314393300736242</v>
      </c>
      <c r="AD20" s="6">
        <f t="shared" si="9"/>
        <v>0.47530065338846628</v>
      </c>
      <c r="AE20" s="40">
        <f t="shared" si="10"/>
        <v>1.3581229708737054E-2</v>
      </c>
      <c r="AF20" s="40">
        <f t="shared" si="11"/>
        <v>1.3065777937018155E-2</v>
      </c>
      <c r="AG20" s="40">
        <f t="shared" si="12"/>
        <v>2.8806269313215112E-2</v>
      </c>
      <c r="AH20" s="40">
        <f t="shared" si="13"/>
        <v>4.0345480359678186E-2</v>
      </c>
      <c r="AI20" s="40">
        <f t="shared" si="14"/>
        <v>3.2507844595481353E-2</v>
      </c>
      <c r="AJ20" s="41">
        <f t="shared" si="15"/>
        <v>0.1021611348337982</v>
      </c>
      <c r="AK20" s="42"/>
      <c r="AL20" s="48">
        <f t="shared" si="16"/>
        <v>7.198166839874906E-2</v>
      </c>
      <c r="AM20" s="6">
        <f t="shared" si="17"/>
        <v>0.1058364627833806</v>
      </c>
      <c r="AN20" s="41">
        <f t="shared" si="18"/>
        <v>7.9527389205065996E-2</v>
      </c>
      <c r="AO20" s="36"/>
      <c r="AP20" s="48">
        <f t="shared" si="19"/>
        <v>1.0107772824083476</v>
      </c>
      <c r="AQ20" s="6">
        <f t="shared" si="20"/>
        <v>0.91902694682706454</v>
      </c>
      <c r="AR20" s="6">
        <f t="shared" si="21"/>
        <v>-8.5882648325064773E-2</v>
      </c>
      <c r="AS20" s="6">
        <f t="shared" si="22"/>
        <v>0.18271643711429056</v>
      </c>
      <c r="AT20" s="6">
        <f t="shared" si="23"/>
        <v>0.1557939332493227</v>
      </c>
      <c r="AU20" s="69">
        <v>2.5188000000000001</v>
      </c>
      <c r="AV20" s="70">
        <v>1.39</v>
      </c>
      <c r="AW20" s="36"/>
      <c r="AX20" s="48">
        <f t="shared" si="24"/>
        <v>0.13005122738521405</v>
      </c>
      <c r="AY20" s="6">
        <v>0.10289999999999999</v>
      </c>
      <c r="AZ20" s="6">
        <f t="shared" si="25"/>
        <v>0.22061529691013412</v>
      </c>
      <c r="BA20" s="6">
        <f t="shared" si="26"/>
        <v>0.23550000000000001</v>
      </c>
      <c r="BB20" s="41">
        <f t="shared" si="27"/>
        <v>0.25530000000000003</v>
      </c>
      <c r="BC20" s="6"/>
      <c r="BD20" s="48">
        <v>0.21600000000000003</v>
      </c>
      <c r="BE20" s="6">
        <v>0.2316</v>
      </c>
      <c r="BF20" s="41">
        <v>0.25159999999999999</v>
      </c>
      <c r="BG20" s="6"/>
      <c r="BH20" s="48"/>
      <c r="BI20" s="41">
        <v>2.1999999999999999E-2</v>
      </c>
      <c r="BJ20" s="48"/>
      <c r="BK20" s="41"/>
      <c r="BL20" s="63"/>
      <c r="BM20" s="6"/>
      <c r="BN20" s="48"/>
      <c r="BO20" s="41">
        <f t="shared" si="70"/>
        <v>6.9000000000000034E-2</v>
      </c>
      <c r="BP20" s="6"/>
      <c r="BQ20" s="48"/>
      <c r="BR20" s="41">
        <f t="shared" si="71"/>
        <v>6.9600000000000023E-2</v>
      </c>
      <c r="BS20" s="6"/>
      <c r="BT20" s="48"/>
      <c r="BU20" s="41">
        <f t="shared" si="69"/>
        <v>6.9599999999999995E-2</v>
      </c>
      <c r="BV20" s="36"/>
      <c r="BW20" s="39">
        <f t="shared" si="28"/>
        <v>3.1491437335045706E-4</v>
      </c>
      <c r="BX20" s="6">
        <f t="shared" si="29"/>
        <v>1.3553808620222284E-2</v>
      </c>
      <c r="BY20" s="40">
        <f t="shared" si="30"/>
        <v>4.6553167612983981E-3</v>
      </c>
      <c r="BZ20" s="6">
        <f t="shared" si="31"/>
        <v>2.7488478396892068E-2</v>
      </c>
      <c r="CA20" s="6">
        <f t="shared" si="32"/>
        <v>0.84538294725320817</v>
      </c>
      <c r="CB20" s="41">
        <f t="shared" si="33"/>
        <v>0.88342833446461377</v>
      </c>
      <c r="CC20" s="36"/>
      <c r="CD20" s="35">
        <v>29.318000000000001</v>
      </c>
      <c r="CE20" s="36">
        <v>165.91499999999999</v>
      </c>
      <c r="CF20" s="37">
        <f t="shared" si="34"/>
        <v>195.233</v>
      </c>
      <c r="CG20" s="33">
        <f t="shared" si="35"/>
        <v>3614.3620000000001</v>
      </c>
      <c r="CH20" s="36">
        <v>6.1890000000000001</v>
      </c>
      <c r="CI20" s="36">
        <v>7.1429999999999998</v>
      </c>
      <c r="CJ20" s="37">
        <f t="shared" si="36"/>
        <v>3601.03</v>
      </c>
      <c r="CK20" s="36">
        <v>522.07000000000005</v>
      </c>
      <c r="CL20" s="36">
        <v>251.578</v>
      </c>
      <c r="CM20" s="37">
        <f t="shared" si="37"/>
        <v>773.64800000000002</v>
      </c>
      <c r="CN20" s="36">
        <v>0.29899999999999999</v>
      </c>
      <c r="CO20" s="36">
        <v>0</v>
      </c>
      <c r="CP20" s="36">
        <v>27.911000000000001</v>
      </c>
      <c r="CQ20" s="36">
        <v>6.0569999999994835</v>
      </c>
      <c r="CR20" s="37">
        <f t="shared" si="38"/>
        <v>4604.1779999999999</v>
      </c>
      <c r="CS20" s="36">
        <v>110.708</v>
      </c>
      <c r="CT20" s="33">
        <v>3653.3150000000001</v>
      </c>
      <c r="CU20" s="37">
        <f t="shared" si="39"/>
        <v>3764.0230000000001</v>
      </c>
      <c r="CV20" s="36">
        <v>140.74299999999999</v>
      </c>
      <c r="CW20" s="36">
        <v>30.199999999999818</v>
      </c>
      <c r="CX20" s="37">
        <f t="shared" si="40"/>
        <v>170.94299999999981</v>
      </c>
      <c r="CY20" s="36">
        <v>70.432999999999993</v>
      </c>
      <c r="CZ20" s="36">
        <v>598.779</v>
      </c>
      <c r="DA20" s="71">
        <f t="shared" si="41"/>
        <v>4604.1779999999999</v>
      </c>
      <c r="DB20" s="36"/>
      <c r="DC20" s="72">
        <v>717.30300000000011</v>
      </c>
      <c r="DD20" s="36"/>
      <c r="DE20" s="32">
        <v>90</v>
      </c>
      <c r="DF20" s="33">
        <v>30</v>
      </c>
      <c r="DG20" s="33">
        <v>70</v>
      </c>
      <c r="DH20" s="33">
        <v>40</v>
      </c>
      <c r="DI20" s="33">
        <v>90</v>
      </c>
      <c r="DJ20" s="33">
        <v>0</v>
      </c>
      <c r="DK20" s="34">
        <f t="shared" si="42"/>
        <v>320</v>
      </c>
      <c r="DL20" s="63">
        <f t="shared" si="43"/>
        <v>6.9502091361367868E-2</v>
      </c>
      <c r="DM20" s="63">
        <f t="shared" si="44"/>
        <v>0.19760487105407307</v>
      </c>
      <c r="DN20" s="36"/>
      <c r="DO20" s="65" t="s">
        <v>178</v>
      </c>
      <c r="DP20" s="59">
        <v>28</v>
      </c>
      <c r="DQ20" s="59">
        <v>10599</v>
      </c>
      <c r="DR20" s="73">
        <v>3</v>
      </c>
      <c r="DS20" s="59" t="s">
        <v>163</v>
      </c>
      <c r="DT20" s="75" t="s">
        <v>164</v>
      </c>
      <c r="DU20" s="62" t="s">
        <v>165</v>
      </c>
      <c r="DV20" s="63">
        <v>9.8225337153633824E-2</v>
      </c>
      <c r="DW20" s="64"/>
      <c r="DX20" s="32">
        <v>444.64836600000001</v>
      </c>
      <c r="DY20" s="33">
        <v>474.64836600000001</v>
      </c>
      <c r="DZ20" s="34">
        <v>514.55510760000004</v>
      </c>
      <c r="EA20" s="33"/>
      <c r="EB20" s="65">
        <f t="shared" si="45"/>
        <v>2011.576</v>
      </c>
      <c r="EC20" s="33">
        <v>2007.66</v>
      </c>
      <c r="ED20" s="34">
        <v>2015.492</v>
      </c>
      <c r="EE20" s="33"/>
      <c r="EF20" s="32">
        <v>3.6709999999999998</v>
      </c>
      <c r="EG20" s="33">
        <v>19.635999999999999</v>
      </c>
      <c r="EH20" s="33">
        <v>52.798000000000002</v>
      </c>
      <c r="EI20" s="33">
        <v>19.641999999999999</v>
      </c>
      <c r="EJ20" s="33">
        <v>405.90899999999999</v>
      </c>
      <c r="EK20" s="33">
        <v>2.9129999999999998</v>
      </c>
      <c r="EL20" s="33">
        <v>22.260000000000218</v>
      </c>
      <c r="EM20" s="34">
        <v>2968.2179999999998</v>
      </c>
      <c r="EN20" s="34">
        <f t="shared" si="46"/>
        <v>3495.047</v>
      </c>
      <c r="EO20" s="59"/>
      <c r="EP20" s="48">
        <f t="shared" si="47"/>
        <v>1.0503435289997531E-3</v>
      </c>
      <c r="EQ20" s="6">
        <f t="shared" si="47"/>
        <v>5.618236321285522E-3</v>
      </c>
      <c r="ER20" s="6">
        <f t="shared" si="47"/>
        <v>1.5106520742067274E-2</v>
      </c>
      <c r="ES20" s="6">
        <f t="shared" si="47"/>
        <v>5.6199530363969354E-3</v>
      </c>
      <c r="ET20" s="6">
        <f t="shared" si="47"/>
        <v>0.11613835235978229</v>
      </c>
      <c r="EU20" s="6">
        <f t="shared" si="47"/>
        <v>8.3346518659119598E-4</v>
      </c>
      <c r="EV20" s="6">
        <f t="shared" si="47"/>
        <v>6.3690130633437024E-3</v>
      </c>
      <c r="EW20" s="6">
        <f t="shared" si="47"/>
        <v>0.84926411576153338</v>
      </c>
      <c r="EX20" s="63">
        <f t="shared" si="48"/>
        <v>1</v>
      </c>
      <c r="EY20" s="59"/>
      <c r="EZ20" s="35">
        <v>0.76300000000000001</v>
      </c>
      <c r="FA20" s="36">
        <v>16.062999999999999</v>
      </c>
      <c r="FB20" s="71">
        <f t="shared" si="49"/>
        <v>16.826000000000001</v>
      </c>
      <c r="FD20" s="35">
        <f t="shared" si="50"/>
        <v>6.1890000000000001</v>
      </c>
      <c r="FE20" s="36">
        <f t="shared" si="50"/>
        <v>7.1429999999999998</v>
      </c>
      <c r="FF20" s="71">
        <f t="shared" si="51"/>
        <v>13.332000000000001</v>
      </c>
      <c r="FH20" s="32">
        <f t="shared" si="52"/>
        <v>3055.52</v>
      </c>
      <c r="FI20" s="33">
        <f t="shared" si="53"/>
        <v>558.84199999999998</v>
      </c>
      <c r="FJ20" s="34">
        <f t="shared" si="54"/>
        <v>3614.3620000000001</v>
      </c>
      <c r="FL20" s="48">
        <v>0.84538294725320817</v>
      </c>
      <c r="FM20" s="6">
        <v>0.15461705274679183</v>
      </c>
      <c r="FN20" s="41">
        <f t="shared" si="55"/>
        <v>1</v>
      </c>
      <c r="FO20" s="59"/>
      <c r="FP20" s="65">
        <f t="shared" si="56"/>
        <v>567.202</v>
      </c>
      <c r="FQ20" s="33">
        <v>535.625</v>
      </c>
      <c r="FR20" s="34">
        <f t="shared" si="57"/>
        <v>598.779</v>
      </c>
      <c r="FT20" s="65">
        <f t="shared" si="58"/>
        <v>3493.0129999999999</v>
      </c>
      <c r="FU20" s="33">
        <v>3371.6640000000002</v>
      </c>
      <c r="FV20" s="34">
        <f t="shared" si="59"/>
        <v>3614.3620000000001</v>
      </c>
      <c r="FX20" s="65">
        <f t="shared" si="60"/>
        <v>1071.556</v>
      </c>
      <c r="FY20" s="33">
        <v>963.49599999999998</v>
      </c>
      <c r="FZ20" s="34">
        <f t="shared" si="61"/>
        <v>1179.616</v>
      </c>
      <c r="GB20" s="65">
        <f t="shared" si="62"/>
        <v>4564.5689999999995</v>
      </c>
      <c r="GC20" s="59">
        <f t="shared" si="63"/>
        <v>4335.16</v>
      </c>
      <c r="GD20" s="73">
        <f t="shared" si="63"/>
        <v>4793.9780000000001</v>
      </c>
      <c r="GF20" s="65">
        <f t="shared" si="64"/>
        <v>3518.7474999999999</v>
      </c>
      <c r="GG20" s="33">
        <v>3384.18</v>
      </c>
      <c r="GH20" s="34">
        <f t="shared" si="65"/>
        <v>3653.3150000000001</v>
      </c>
      <c r="GI20" s="33"/>
      <c r="GJ20" s="65">
        <f t="shared" si="66"/>
        <v>4434.9444999999996</v>
      </c>
      <c r="GK20" s="33">
        <v>4265.7110000000002</v>
      </c>
      <c r="GL20" s="34">
        <f t="shared" si="67"/>
        <v>4604.1779999999999</v>
      </c>
      <c r="GM20" s="33"/>
      <c r="GN20" s="76">
        <f t="shared" si="68"/>
        <v>0.43775284100658141</v>
      </c>
      <c r="GO20" s="67"/>
    </row>
    <row r="21" spans="2:197" s="1" customFormat="1" x14ac:dyDescent="0.2">
      <c r="B21" s="77" t="s">
        <v>189</v>
      </c>
      <c r="C21" s="32">
        <v>3357.7530000000002</v>
      </c>
      <c r="D21" s="33">
        <v>3417.2440000000001</v>
      </c>
      <c r="E21" s="33">
        <v>2760.1170000000002</v>
      </c>
      <c r="F21" s="33">
        <v>830.31899999999996</v>
      </c>
      <c r="G21" s="33">
        <v>2257.7260000000001</v>
      </c>
      <c r="H21" s="33">
        <v>4188.0720000000001</v>
      </c>
      <c r="I21" s="34">
        <v>3590.4360000000001</v>
      </c>
      <c r="J21" s="33"/>
      <c r="K21" s="35">
        <v>30.329000000000001</v>
      </c>
      <c r="L21" s="36">
        <v>5.3870000000000005</v>
      </c>
      <c r="M21" s="36">
        <v>0.19400000000000001</v>
      </c>
      <c r="N21" s="37">
        <f t="shared" si="0"/>
        <v>35.910000000000004</v>
      </c>
      <c r="O21" s="36">
        <v>19.230999999999998</v>
      </c>
      <c r="P21" s="37">
        <f t="shared" si="1"/>
        <v>16.679000000000006</v>
      </c>
      <c r="Q21" s="36">
        <v>3.7759999999999998</v>
      </c>
      <c r="R21" s="37">
        <f t="shared" si="2"/>
        <v>12.903000000000006</v>
      </c>
      <c r="S21" s="36">
        <v>5.3529999999999998</v>
      </c>
      <c r="T21" s="36">
        <v>2.6000000000000023E-2</v>
      </c>
      <c r="U21" s="36">
        <v>-3.5</v>
      </c>
      <c r="V21" s="37">
        <f t="shared" si="3"/>
        <v>14.782000000000007</v>
      </c>
      <c r="W21" s="36">
        <v>2.3249999999999997</v>
      </c>
      <c r="X21" s="38">
        <f t="shared" si="4"/>
        <v>12.457000000000008</v>
      </c>
      <c r="Y21" s="36"/>
      <c r="Z21" s="39">
        <f t="shared" si="5"/>
        <v>1.7750561563646027E-2</v>
      </c>
      <c r="AA21" s="40">
        <f t="shared" si="6"/>
        <v>3.1528331017627071E-3</v>
      </c>
      <c r="AB21" s="6">
        <f t="shared" si="7"/>
        <v>0.46576570030758785</v>
      </c>
      <c r="AC21" s="6">
        <f t="shared" si="8"/>
        <v>0.46605918134890811</v>
      </c>
      <c r="AD21" s="6">
        <f t="shared" si="9"/>
        <v>0.53553327763854064</v>
      </c>
      <c r="AE21" s="40">
        <f t="shared" si="10"/>
        <v>1.1255268865787749E-2</v>
      </c>
      <c r="AF21" s="40">
        <f t="shared" si="11"/>
        <v>7.2906704935322194E-3</v>
      </c>
      <c r="AG21" s="40">
        <f t="shared" si="12"/>
        <v>1.4161120976011249E-2</v>
      </c>
      <c r="AH21" s="40">
        <f t="shared" si="13"/>
        <v>2.5075540378008829E-2</v>
      </c>
      <c r="AI21" s="40">
        <f t="shared" si="14"/>
        <v>1.4668133896883127E-2</v>
      </c>
      <c r="AJ21" s="41">
        <f t="shared" si="15"/>
        <v>6.0013706269112635E-2</v>
      </c>
      <c r="AK21" s="42"/>
      <c r="AL21" s="48">
        <f t="shared" si="16"/>
        <v>1.2824158795289512E-2</v>
      </c>
      <c r="AM21" s="6">
        <f t="shared" si="17"/>
        <v>-7.5255807550790163E-3</v>
      </c>
      <c r="AN21" s="41">
        <f t="shared" si="18"/>
        <v>-1.6188238493060229E-2</v>
      </c>
      <c r="AO21" s="36"/>
      <c r="AP21" s="48">
        <f t="shared" si="19"/>
        <v>0.81798199134312055</v>
      </c>
      <c r="AQ21" s="6">
        <f t="shared" si="20"/>
        <v>0.77151842522795522</v>
      </c>
      <c r="AR21" s="6">
        <f t="shared" si="21"/>
        <v>6.0200378050440269E-2</v>
      </c>
      <c r="AS21" s="6">
        <f t="shared" si="22"/>
        <v>0.30335301613906679</v>
      </c>
      <c r="AT21" s="6">
        <f t="shared" si="23"/>
        <v>0.13892534680186425</v>
      </c>
      <c r="AU21" s="69">
        <v>4.67</v>
      </c>
      <c r="AV21" s="70">
        <v>1.31</v>
      </c>
      <c r="AW21" s="36"/>
      <c r="AX21" s="48">
        <f t="shared" si="24"/>
        <v>0.12536449226610771</v>
      </c>
      <c r="AY21" s="6">
        <v>0.1051</v>
      </c>
      <c r="AZ21" s="6">
        <f t="shared" si="25"/>
        <v>0.18391553168846672</v>
      </c>
      <c r="BA21" s="6">
        <f t="shared" si="26"/>
        <v>0.20435857328596777</v>
      </c>
      <c r="BB21" s="41">
        <f t="shared" si="27"/>
        <v>0.2218811803695401</v>
      </c>
      <c r="BC21" s="6"/>
      <c r="BD21" s="48">
        <v>0.18679999999999999</v>
      </c>
      <c r="BE21" s="6">
        <v>0.2069</v>
      </c>
      <c r="BF21" s="41">
        <v>0.22500000000000001</v>
      </c>
      <c r="BG21" s="6"/>
      <c r="BH21" s="48"/>
      <c r="BI21" s="41">
        <v>2.5000000000000001E-2</v>
      </c>
      <c r="BJ21" s="48"/>
      <c r="BK21" s="41"/>
      <c r="BL21" s="63"/>
      <c r="BM21" s="6"/>
      <c r="BN21" s="48"/>
      <c r="BO21" s="41">
        <f t="shared" si="70"/>
        <v>3.6799999999999999E-2</v>
      </c>
      <c r="BP21" s="6"/>
      <c r="BQ21" s="48"/>
      <c r="BR21" s="41">
        <f t="shared" si="71"/>
        <v>4.1900000000000021E-2</v>
      </c>
      <c r="BS21" s="6"/>
      <c r="BT21" s="48"/>
      <c r="BU21" s="41">
        <f t="shared" si="69"/>
        <v>4.0000000000000008E-2</v>
      </c>
      <c r="BV21" s="36"/>
      <c r="BW21" s="39">
        <f t="shared" si="28"/>
        <v>2.7535483108811461E-3</v>
      </c>
      <c r="BX21" s="6">
        <f t="shared" si="29"/>
        <v>0.17118505757548277</v>
      </c>
      <c r="BY21" s="40">
        <f t="shared" si="30"/>
        <v>3.0558124891082512E-2</v>
      </c>
      <c r="BZ21" s="6">
        <f t="shared" si="31"/>
        <v>0.18719025964370287</v>
      </c>
      <c r="CA21" s="6">
        <f t="shared" si="32"/>
        <v>0.75357964897864826</v>
      </c>
      <c r="CB21" s="41">
        <f t="shared" si="33"/>
        <v>0.81056646045215675</v>
      </c>
      <c r="CC21" s="36"/>
      <c r="CD21" s="35">
        <v>70.631</v>
      </c>
      <c r="CE21" s="36">
        <v>108.919</v>
      </c>
      <c r="CF21" s="37">
        <f t="shared" si="34"/>
        <v>179.55</v>
      </c>
      <c r="CG21" s="33">
        <f t="shared" si="35"/>
        <v>2760.1170000000002</v>
      </c>
      <c r="CH21" s="36">
        <v>23.108000000000001</v>
      </c>
      <c r="CI21" s="36">
        <v>6.5280000000000005</v>
      </c>
      <c r="CJ21" s="37">
        <f t="shared" si="36"/>
        <v>2730.4810000000002</v>
      </c>
      <c r="CK21" s="36">
        <v>286.92700000000002</v>
      </c>
      <c r="CL21" s="36">
        <v>149.11000000000001</v>
      </c>
      <c r="CM21" s="37">
        <f t="shared" si="37"/>
        <v>436.03700000000003</v>
      </c>
      <c r="CN21" s="36">
        <v>2.4060000000000001</v>
      </c>
      <c r="CO21" s="36">
        <v>0</v>
      </c>
      <c r="CP21" s="36">
        <v>5.7930000000000001</v>
      </c>
      <c r="CQ21" s="36">
        <v>3.4859999999997173</v>
      </c>
      <c r="CR21" s="37">
        <f t="shared" si="38"/>
        <v>3357.7530000000002</v>
      </c>
      <c r="CS21" s="36">
        <v>100.626</v>
      </c>
      <c r="CT21" s="33">
        <v>2257.7260000000001</v>
      </c>
      <c r="CU21" s="37">
        <f t="shared" si="39"/>
        <v>2358.3520000000003</v>
      </c>
      <c r="CV21" s="36">
        <v>502.79899999999998</v>
      </c>
      <c r="CW21" s="36">
        <v>10.46899999999988</v>
      </c>
      <c r="CX21" s="37">
        <f t="shared" si="40"/>
        <v>513.2679999999998</v>
      </c>
      <c r="CY21" s="36">
        <v>65.19</v>
      </c>
      <c r="CZ21" s="36">
        <v>420.94299999999998</v>
      </c>
      <c r="DA21" s="71">
        <f t="shared" si="41"/>
        <v>3357.7529999999997</v>
      </c>
      <c r="DB21" s="36"/>
      <c r="DC21" s="72">
        <v>466.47700000000003</v>
      </c>
      <c r="DD21" s="36"/>
      <c r="DE21" s="32">
        <v>215</v>
      </c>
      <c r="DF21" s="33">
        <v>200</v>
      </c>
      <c r="DG21" s="33">
        <v>200</v>
      </c>
      <c r="DH21" s="33">
        <v>50</v>
      </c>
      <c r="DI21" s="33">
        <v>0</v>
      </c>
      <c r="DJ21" s="33">
        <v>0</v>
      </c>
      <c r="DK21" s="34">
        <f t="shared" si="42"/>
        <v>665</v>
      </c>
      <c r="DL21" s="63">
        <f t="shared" si="43"/>
        <v>0.19804911201032357</v>
      </c>
      <c r="DM21" s="63">
        <f t="shared" si="44"/>
        <v>0.32169117263836855</v>
      </c>
      <c r="DN21" s="36"/>
      <c r="DO21" s="65" t="s">
        <v>162</v>
      </c>
      <c r="DP21" s="59">
        <v>20.2</v>
      </c>
      <c r="DQ21" s="59">
        <v>5991</v>
      </c>
      <c r="DR21" s="73">
        <v>5</v>
      </c>
      <c r="DS21" s="59" t="s">
        <v>163</v>
      </c>
      <c r="DT21" s="75" t="s">
        <v>164</v>
      </c>
      <c r="DU21" s="62" t="s">
        <v>165</v>
      </c>
      <c r="DV21" s="63">
        <v>0.55432796723052924</v>
      </c>
      <c r="DW21" s="64"/>
      <c r="DX21" s="32">
        <v>314.87700000000001</v>
      </c>
      <c r="DY21" s="33">
        <v>349.87700000000001</v>
      </c>
      <c r="DZ21" s="34">
        <v>379.87700000000001</v>
      </c>
      <c r="EA21" s="33"/>
      <c r="EB21" s="65">
        <f t="shared" si="45"/>
        <v>1759.3240000000001</v>
      </c>
      <c r="EC21" s="33">
        <v>1806.5740000000001</v>
      </c>
      <c r="ED21" s="34">
        <v>1712.0740000000001</v>
      </c>
      <c r="EE21" s="33"/>
      <c r="EF21" s="32">
        <v>265.76900000000001</v>
      </c>
      <c r="EG21" s="33">
        <v>21.277000000000001</v>
      </c>
      <c r="EH21" s="33">
        <v>124.52</v>
      </c>
      <c r="EI21" s="33">
        <v>23.748000000000001</v>
      </c>
      <c r="EJ21" s="33">
        <v>136.506</v>
      </c>
      <c r="EK21" s="33">
        <v>12.262</v>
      </c>
      <c r="EL21" s="33">
        <v>83.236000000000331</v>
      </c>
      <c r="EM21" s="34">
        <v>2054.5790000000002</v>
      </c>
      <c r="EN21" s="34">
        <f t="shared" si="46"/>
        <v>2721.8970000000004</v>
      </c>
      <c r="EO21" s="59"/>
      <c r="EP21" s="48">
        <f t="shared" si="47"/>
        <v>9.7641093693111816E-2</v>
      </c>
      <c r="EQ21" s="6">
        <f t="shared" si="47"/>
        <v>7.816974705508694E-3</v>
      </c>
      <c r="ER21" s="6">
        <f t="shared" si="47"/>
        <v>4.5747506242888682E-2</v>
      </c>
      <c r="ES21" s="6">
        <f t="shared" si="47"/>
        <v>8.7247974482502454E-3</v>
      </c>
      <c r="ET21" s="6">
        <f t="shared" si="47"/>
        <v>5.0151052740055914E-2</v>
      </c>
      <c r="EU21" s="6">
        <f t="shared" si="47"/>
        <v>4.5049463664495748E-3</v>
      </c>
      <c r="EV21" s="6">
        <f t="shared" si="47"/>
        <v>3.0580143186902487E-2</v>
      </c>
      <c r="EW21" s="6">
        <f t="shared" si="47"/>
        <v>0.75483348561683261</v>
      </c>
      <c r="EX21" s="63">
        <f t="shared" si="48"/>
        <v>1</v>
      </c>
      <c r="EY21" s="59"/>
      <c r="EZ21" s="35">
        <v>38.120999999999995</v>
      </c>
      <c r="FA21" s="36">
        <v>46.222999999999999</v>
      </c>
      <c r="FB21" s="71">
        <f t="shared" si="49"/>
        <v>84.343999999999994</v>
      </c>
      <c r="FD21" s="35">
        <f t="shared" si="50"/>
        <v>23.108000000000001</v>
      </c>
      <c r="FE21" s="36">
        <f t="shared" si="50"/>
        <v>6.5280000000000005</v>
      </c>
      <c r="FF21" s="71">
        <f t="shared" si="51"/>
        <v>29.636000000000003</v>
      </c>
      <c r="FH21" s="32">
        <f t="shared" si="52"/>
        <v>2079.9679999999998</v>
      </c>
      <c r="FI21" s="33">
        <f t="shared" si="53"/>
        <v>680.14900000000034</v>
      </c>
      <c r="FJ21" s="34">
        <f t="shared" si="54"/>
        <v>2760.1170000000002</v>
      </c>
      <c r="FL21" s="48">
        <v>0.75357964897864826</v>
      </c>
      <c r="FM21" s="6">
        <v>0.24642035102135174</v>
      </c>
      <c r="FN21" s="41">
        <f t="shared" si="55"/>
        <v>1</v>
      </c>
      <c r="FO21" s="59"/>
      <c r="FP21" s="65">
        <f t="shared" si="56"/>
        <v>415.13850000000002</v>
      </c>
      <c r="FQ21" s="33">
        <v>409.334</v>
      </c>
      <c r="FR21" s="34">
        <f t="shared" si="57"/>
        <v>420.94299999999998</v>
      </c>
      <c r="FT21" s="65">
        <f t="shared" si="58"/>
        <v>2742.643</v>
      </c>
      <c r="FU21" s="33">
        <v>2725.1689999999999</v>
      </c>
      <c r="FV21" s="34">
        <f t="shared" si="59"/>
        <v>2760.1170000000002</v>
      </c>
      <c r="FX21" s="65">
        <f t="shared" si="60"/>
        <v>861.40549999999996</v>
      </c>
      <c r="FY21" s="33">
        <v>892.49199999999996</v>
      </c>
      <c r="FZ21" s="34">
        <f t="shared" si="61"/>
        <v>830.31899999999996</v>
      </c>
      <c r="GB21" s="65">
        <f t="shared" si="62"/>
        <v>3604.0484999999999</v>
      </c>
      <c r="GC21" s="59">
        <f t="shared" si="63"/>
        <v>3617.6610000000001</v>
      </c>
      <c r="GD21" s="73">
        <f t="shared" si="63"/>
        <v>3590.4360000000001</v>
      </c>
      <c r="GF21" s="65">
        <f t="shared" si="64"/>
        <v>2276.3010000000004</v>
      </c>
      <c r="GG21" s="33">
        <v>2294.8760000000002</v>
      </c>
      <c r="GH21" s="34">
        <f t="shared" si="65"/>
        <v>2257.7260000000001</v>
      </c>
      <c r="GI21" s="33"/>
      <c r="GJ21" s="65">
        <f t="shared" si="66"/>
        <v>3417.2440000000001</v>
      </c>
      <c r="GK21" s="33">
        <v>3476.7350000000001</v>
      </c>
      <c r="GL21" s="34">
        <f t="shared" si="67"/>
        <v>3357.7530000000002</v>
      </c>
      <c r="GM21" s="33"/>
      <c r="GN21" s="76">
        <f t="shared" si="68"/>
        <v>0.50988682014430486</v>
      </c>
      <c r="GO21" s="67"/>
    </row>
    <row r="22" spans="2:197" s="1" customFormat="1" x14ac:dyDescent="0.2">
      <c r="B22" s="77" t="s">
        <v>190</v>
      </c>
      <c r="C22" s="32">
        <v>8183.9440000000004</v>
      </c>
      <c r="D22" s="33">
        <v>8050.0889999999999</v>
      </c>
      <c r="E22" s="33">
        <v>6422.1180000000004</v>
      </c>
      <c r="F22" s="33">
        <v>754.35500000000002</v>
      </c>
      <c r="G22" s="33">
        <v>5022.4089999999997</v>
      </c>
      <c r="H22" s="33">
        <v>8938.2990000000009</v>
      </c>
      <c r="I22" s="34">
        <v>7176.473</v>
      </c>
      <c r="J22" s="33"/>
      <c r="K22" s="35">
        <v>67.972000000000008</v>
      </c>
      <c r="L22" s="36">
        <v>19.186999999999998</v>
      </c>
      <c r="M22" s="36">
        <v>0.67700000000000005</v>
      </c>
      <c r="N22" s="37">
        <f t="shared" si="0"/>
        <v>87.836000000000013</v>
      </c>
      <c r="O22" s="36">
        <v>42.575000000000003</v>
      </c>
      <c r="P22" s="37">
        <f t="shared" si="1"/>
        <v>45.26100000000001</v>
      </c>
      <c r="Q22" s="36">
        <v>19.477</v>
      </c>
      <c r="R22" s="37">
        <f t="shared" si="2"/>
        <v>25.78400000000001</v>
      </c>
      <c r="S22" s="36">
        <v>10.628</v>
      </c>
      <c r="T22" s="36">
        <v>-1.6339999999999999</v>
      </c>
      <c r="U22" s="36">
        <v>-4.7</v>
      </c>
      <c r="V22" s="37">
        <f t="shared" si="3"/>
        <v>30.078000000000007</v>
      </c>
      <c r="W22" s="36">
        <v>4.3000000000000007</v>
      </c>
      <c r="X22" s="38">
        <f t="shared" si="4"/>
        <v>25.778000000000006</v>
      </c>
      <c r="Y22" s="36"/>
      <c r="Z22" s="39">
        <f t="shared" si="5"/>
        <v>1.6887266712206538E-2</v>
      </c>
      <c r="AA22" s="40">
        <f t="shared" si="6"/>
        <v>4.7669038193242329E-3</v>
      </c>
      <c r="AB22" s="6">
        <f t="shared" si="7"/>
        <v>0.4396881131880615</v>
      </c>
      <c r="AC22" s="6">
        <f t="shared" si="8"/>
        <v>0.43239153396165092</v>
      </c>
      <c r="AD22" s="6">
        <f t="shared" si="9"/>
        <v>0.48471014162757864</v>
      </c>
      <c r="AE22" s="40">
        <f t="shared" si="10"/>
        <v>1.0577522807511818E-2</v>
      </c>
      <c r="AF22" s="40">
        <f t="shared" si="11"/>
        <v>6.4044012432657588E-3</v>
      </c>
      <c r="AG22" s="40">
        <f t="shared" si="12"/>
        <v>1.3330442605807288E-2</v>
      </c>
      <c r="AH22" s="40">
        <f t="shared" si="13"/>
        <v>2.8056604995658097E-2</v>
      </c>
      <c r="AI22" s="40">
        <f t="shared" si="14"/>
        <v>1.3333545354493567E-2</v>
      </c>
      <c r="AJ22" s="41">
        <f t="shared" si="15"/>
        <v>6.8348783486840592E-2</v>
      </c>
      <c r="AK22" s="42"/>
      <c r="AL22" s="48">
        <f t="shared" si="16"/>
        <v>3.7255558146941974E-2</v>
      </c>
      <c r="AM22" s="6">
        <f t="shared" si="17"/>
        <v>3.3569495694248254E-2</v>
      </c>
      <c r="AN22" s="41">
        <f t="shared" si="18"/>
        <v>1.256408653875222E-2</v>
      </c>
      <c r="AO22" s="36"/>
      <c r="AP22" s="48">
        <f t="shared" si="19"/>
        <v>0.78204869483868089</v>
      </c>
      <c r="AQ22" s="6">
        <f t="shared" si="20"/>
        <v>0.68028374000973879</v>
      </c>
      <c r="AR22" s="6">
        <f t="shared" si="21"/>
        <v>0.11420153901346343</v>
      </c>
      <c r="AS22" s="6">
        <f t="shared" si="22"/>
        <v>0.31305889923000446</v>
      </c>
      <c r="AT22" s="6">
        <f t="shared" si="23"/>
        <v>0.17421758995418346</v>
      </c>
      <c r="AU22" s="69">
        <v>2.52</v>
      </c>
      <c r="AV22" s="70">
        <v>1.53</v>
      </c>
      <c r="AW22" s="36"/>
      <c r="AX22" s="48">
        <f t="shared" si="24"/>
        <v>9.5511039664983047E-2</v>
      </c>
      <c r="AY22" s="6">
        <v>8.8700000000000001E-2</v>
      </c>
      <c r="AZ22" s="6">
        <f t="shared" si="25"/>
        <v>0.1642208396266992</v>
      </c>
      <c r="BA22" s="6">
        <f t="shared" si="26"/>
        <v>0.18297590349394335</v>
      </c>
      <c r="BB22" s="41">
        <f t="shared" si="27"/>
        <v>0.20798265531693558</v>
      </c>
      <c r="BC22" s="6"/>
      <c r="BD22" s="48">
        <v>0.1699</v>
      </c>
      <c r="BE22" s="6">
        <v>0.18859999999999999</v>
      </c>
      <c r="BF22" s="41">
        <v>0.2331</v>
      </c>
      <c r="BG22" s="6"/>
      <c r="BH22" s="48"/>
      <c r="BI22" s="41">
        <v>3.2000000000000001E-2</v>
      </c>
      <c r="BJ22" s="48"/>
      <c r="BK22" s="41"/>
      <c r="BL22" s="63"/>
      <c r="BM22" s="6"/>
      <c r="BN22" s="48"/>
      <c r="BO22" s="41">
        <f t="shared" si="70"/>
        <v>1.2899999999999995E-2</v>
      </c>
      <c r="BP22" s="6"/>
      <c r="BQ22" s="48"/>
      <c r="BR22" s="41">
        <f t="shared" si="71"/>
        <v>1.6600000000000004E-2</v>
      </c>
      <c r="BS22" s="6"/>
      <c r="BT22" s="48"/>
      <c r="BU22" s="41">
        <f t="shared" si="69"/>
        <v>4.1099999999999998E-2</v>
      </c>
      <c r="BV22" s="36"/>
      <c r="BW22" s="39">
        <f t="shared" si="28"/>
        <v>6.1765225863891033E-3</v>
      </c>
      <c r="BX22" s="6">
        <f t="shared" si="29"/>
        <v>0.35898995484287155</v>
      </c>
      <c r="BY22" s="40">
        <f t="shared" si="30"/>
        <v>2.7451535459174059E-2</v>
      </c>
      <c r="BZ22" s="6">
        <f t="shared" si="31"/>
        <v>0.21472243942483124</v>
      </c>
      <c r="CA22" s="6">
        <f t="shared" si="32"/>
        <v>0.69935884080610156</v>
      </c>
      <c r="CB22" s="41">
        <f t="shared" si="33"/>
        <v>0.73096073795581751</v>
      </c>
      <c r="CC22" s="36"/>
      <c r="CD22" s="35">
        <v>232.81899999999999</v>
      </c>
      <c r="CE22" s="36">
        <v>16.664000000000001</v>
      </c>
      <c r="CF22" s="37">
        <f t="shared" si="34"/>
        <v>249.483</v>
      </c>
      <c r="CG22" s="33">
        <f t="shared" si="35"/>
        <v>6422.1180000000004</v>
      </c>
      <c r="CH22" s="36">
        <v>24.661999999999999</v>
      </c>
      <c r="CI22" s="36">
        <v>14.727</v>
      </c>
      <c r="CJ22" s="37">
        <f t="shared" si="36"/>
        <v>6382.7290000000003</v>
      </c>
      <c r="CK22" s="36">
        <v>1176.3040000000001</v>
      </c>
      <c r="CL22" s="36">
        <v>300.84100000000001</v>
      </c>
      <c r="CM22" s="37">
        <f t="shared" si="37"/>
        <v>1477.145</v>
      </c>
      <c r="CN22" s="36">
        <v>23.922000000000001</v>
      </c>
      <c r="CO22" s="36">
        <v>0</v>
      </c>
      <c r="CP22" s="36">
        <v>45.877000000000002</v>
      </c>
      <c r="CQ22" s="36">
        <v>4.7879999999999896</v>
      </c>
      <c r="CR22" s="37">
        <f t="shared" si="38"/>
        <v>8183.9439999999995</v>
      </c>
      <c r="CS22" s="36">
        <v>0</v>
      </c>
      <c r="CT22" s="33">
        <v>5022.4089999999997</v>
      </c>
      <c r="CU22" s="37">
        <f t="shared" si="39"/>
        <v>5022.4089999999997</v>
      </c>
      <c r="CV22" s="36">
        <v>2184.8789999999999</v>
      </c>
      <c r="CW22" s="36">
        <v>19.472000000000776</v>
      </c>
      <c r="CX22" s="37">
        <f t="shared" si="40"/>
        <v>2204.3510000000006</v>
      </c>
      <c r="CY22" s="36">
        <v>175.52699999999999</v>
      </c>
      <c r="CZ22" s="36">
        <v>781.65700000000004</v>
      </c>
      <c r="DA22" s="71">
        <f t="shared" si="41"/>
        <v>8183.9440000000004</v>
      </c>
      <c r="DB22" s="36"/>
      <c r="DC22" s="72">
        <v>1425.787</v>
      </c>
      <c r="DD22" s="36"/>
      <c r="DE22" s="32">
        <v>283</v>
      </c>
      <c r="DF22" s="33">
        <v>775</v>
      </c>
      <c r="DG22" s="33">
        <v>700</v>
      </c>
      <c r="DH22" s="33">
        <v>600</v>
      </c>
      <c r="DI22" s="33">
        <v>0</v>
      </c>
      <c r="DJ22" s="33">
        <v>0</v>
      </c>
      <c r="DK22" s="34">
        <f t="shared" si="42"/>
        <v>2358</v>
      </c>
      <c r="DL22" s="63">
        <f t="shared" si="43"/>
        <v>0.28812513868618844</v>
      </c>
      <c r="DM22" s="63">
        <f t="shared" si="44"/>
        <v>0.33421263635235038</v>
      </c>
      <c r="DN22" s="36"/>
      <c r="DO22" s="65" t="s">
        <v>162</v>
      </c>
      <c r="DP22" s="59">
        <v>36</v>
      </c>
      <c r="DQ22" s="59">
        <v>11064</v>
      </c>
      <c r="DR22" s="73">
        <v>4</v>
      </c>
      <c r="DS22" s="59" t="s">
        <v>163</v>
      </c>
      <c r="DT22" s="75" t="s">
        <v>164</v>
      </c>
      <c r="DU22" s="62" t="s">
        <v>170</v>
      </c>
      <c r="DV22" s="63">
        <v>0.15839251054729725</v>
      </c>
      <c r="DW22" s="64"/>
      <c r="DX22" s="32">
        <v>656.70600000000002</v>
      </c>
      <c r="DY22" s="33">
        <v>731.70600000000002</v>
      </c>
      <c r="DZ22" s="34">
        <v>831.70600000000002</v>
      </c>
      <c r="EA22" s="33"/>
      <c r="EB22" s="65">
        <f t="shared" si="45"/>
        <v>3867.5385000000001</v>
      </c>
      <c r="EC22" s="33">
        <v>3736.1570000000002</v>
      </c>
      <c r="ED22" s="34">
        <v>3998.92</v>
      </c>
      <c r="EE22" s="33"/>
      <c r="EF22" s="32">
        <v>117.63500000000001</v>
      </c>
      <c r="EG22" s="33">
        <v>106.08499999999999</v>
      </c>
      <c r="EH22" s="33">
        <v>548.63300000000004</v>
      </c>
      <c r="EI22" s="33">
        <v>101.334</v>
      </c>
      <c r="EJ22" s="33">
        <v>684.67</v>
      </c>
      <c r="EK22" s="33">
        <v>87.034000000000006</v>
      </c>
      <c r="EL22" s="33">
        <v>121.03200000000015</v>
      </c>
      <c r="EM22" s="34">
        <v>4408.83</v>
      </c>
      <c r="EN22" s="34">
        <f t="shared" si="46"/>
        <v>6175.2530000000006</v>
      </c>
      <c r="EO22" s="59"/>
      <c r="EP22" s="48">
        <f t="shared" si="47"/>
        <v>1.9049421942712304E-2</v>
      </c>
      <c r="EQ22" s="6">
        <f t="shared" si="47"/>
        <v>1.717905323069354E-2</v>
      </c>
      <c r="ER22" s="6">
        <f t="shared" si="47"/>
        <v>8.8843809314371414E-2</v>
      </c>
      <c r="ES22" s="6">
        <f t="shared" si="47"/>
        <v>1.6409692040147989E-2</v>
      </c>
      <c r="ET22" s="6">
        <f t="shared" si="47"/>
        <v>0.11087319013488191</v>
      </c>
      <c r="EU22" s="6">
        <f t="shared" si="47"/>
        <v>1.4093997444315236E-2</v>
      </c>
      <c r="EV22" s="6">
        <f t="shared" si="47"/>
        <v>1.9599520861736375E-2</v>
      </c>
      <c r="EW22" s="6">
        <f t="shared" si="47"/>
        <v>0.71395131503114118</v>
      </c>
      <c r="EX22" s="63">
        <f t="shared" si="48"/>
        <v>1</v>
      </c>
      <c r="EY22" s="59"/>
      <c r="EZ22" s="35">
        <v>42.362000000000002</v>
      </c>
      <c r="FA22" s="36">
        <v>133.935</v>
      </c>
      <c r="FB22" s="71">
        <f t="shared" si="49"/>
        <v>176.297</v>
      </c>
      <c r="FD22" s="35">
        <f t="shared" si="50"/>
        <v>24.661999999999999</v>
      </c>
      <c r="FE22" s="36">
        <f t="shared" si="50"/>
        <v>14.727</v>
      </c>
      <c r="FF22" s="71">
        <f t="shared" si="51"/>
        <v>39.388999999999996</v>
      </c>
      <c r="FH22" s="32">
        <f t="shared" si="52"/>
        <v>4491.3649999999998</v>
      </c>
      <c r="FI22" s="33">
        <f t="shared" si="53"/>
        <v>1930.7530000000008</v>
      </c>
      <c r="FJ22" s="34">
        <f t="shared" si="54"/>
        <v>6422.1180000000004</v>
      </c>
      <c r="FL22" s="48">
        <v>0.69935884080610156</v>
      </c>
      <c r="FM22" s="6">
        <v>0.30064115919389844</v>
      </c>
      <c r="FN22" s="41">
        <f t="shared" si="55"/>
        <v>1</v>
      </c>
      <c r="FO22" s="59"/>
      <c r="FP22" s="65">
        <f t="shared" si="56"/>
        <v>754.3075</v>
      </c>
      <c r="FQ22" s="33">
        <v>726.95799999999997</v>
      </c>
      <c r="FR22" s="34">
        <f t="shared" si="57"/>
        <v>781.65700000000004</v>
      </c>
      <c r="FT22" s="65">
        <f t="shared" si="58"/>
        <v>6306.7849999999999</v>
      </c>
      <c r="FU22" s="33">
        <v>6191.4520000000002</v>
      </c>
      <c r="FV22" s="34">
        <f t="shared" si="59"/>
        <v>6422.1180000000004</v>
      </c>
      <c r="FX22" s="65">
        <f t="shared" si="60"/>
        <v>753.14499999999998</v>
      </c>
      <c r="FY22" s="33">
        <v>751.93499999999995</v>
      </c>
      <c r="FZ22" s="34">
        <f t="shared" si="61"/>
        <v>754.35500000000002</v>
      </c>
      <c r="GB22" s="65">
        <f t="shared" si="62"/>
        <v>7059.93</v>
      </c>
      <c r="GC22" s="59">
        <f t="shared" si="63"/>
        <v>6943.3870000000006</v>
      </c>
      <c r="GD22" s="73">
        <f t="shared" si="63"/>
        <v>7176.473</v>
      </c>
      <c r="GF22" s="65">
        <f t="shared" si="64"/>
        <v>4991.2494999999999</v>
      </c>
      <c r="GG22" s="33">
        <v>4960.09</v>
      </c>
      <c r="GH22" s="34">
        <f t="shared" si="65"/>
        <v>5022.4089999999997</v>
      </c>
      <c r="GI22" s="33"/>
      <c r="GJ22" s="65">
        <f t="shared" si="66"/>
        <v>8050.0889999999999</v>
      </c>
      <c r="GK22" s="33">
        <v>7916.2340000000004</v>
      </c>
      <c r="GL22" s="34">
        <f t="shared" si="67"/>
        <v>8183.9440000000004</v>
      </c>
      <c r="GM22" s="33"/>
      <c r="GN22" s="76">
        <f t="shared" si="68"/>
        <v>0.48862993197411908</v>
      </c>
      <c r="GO22" s="67"/>
    </row>
    <row r="23" spans="2:197" s="1" customFormat="1" x14ac:dyDescent="0.2">
      <c r="B23" s="77" t="s">
        <v>191</v>
      </c>
      <c r="C23" s="32">
        <v>11977.458000000001</v>
      </c>
      <c r="D23" s="33">
        <v>11888.708500000001</v>
      </c>
      <c r="E23" s="33">
        <v>9010.1479999999992</v>
      </c>
      <c r="F23" s="33">
        <v>8638.3680000000004</v>
      </c>
      <c r="G23" s="33">
        <v>9140.232</v>
      </c>
      <c r="H23" s="33">
        <v>20615.826000000001</v>
      </c>
      <c r="I23" s="34">
        <v>17648.516</v>
      </c>
      <c r="J23" s="33"/>
      <c r="K23" s="35">
        <v>111.48400000000001</v>
      </c>
      <c r="L23" s="36">
        <v>44.057000000000002</v>
      </c>
      <c r="M23" s="36">
        <v>-4.3999999999999997E-2</v>
      </c>
      <c r="N23" s="37">
        <f t="shared" si="0"/>
        <v>155.49699999999999</v>
      </c>
      <c r="O23" s="36">
        <v>80.073000000000008</v>
      </c>
      <c r="P23" s="37">
        <f t="shared" si="1"/>
        <v>75.423999999999978</v>
      </c>
      <c r="Q23" s="36">
        <v>0.57600000000000007</v>
      </c>
      <c r="R23" s="37">
        <f t="shared" si="2"/>
        <v>74.847999999999985</v>
      </c>
      <c r="S23" s="36">
        <v>17.864999999999998</v>
      </c>
      <c r="T23" s="36">
        <v>-0.11399999999999988</v>
      </c>
      <c r="U23" s="36">
        <v>-4.97</v>
      </c>
      <c r="V23" s="37">
        <f t="shared" si="3"/>
        <v>87.628999999999976</v>
      </c>
      <c r="W23" s="36">
        <v>16.986000000000001</v>
      </c>
      <c r="X23" s="38">
        <f t="shared" si="4"/>
        <v>70.642999999999972</v>
      </c>
      <c r="Y23" s="36"/>
      <c r="Z23" s="39">
        <f t="shared" si="5"/>
        <v>1.8754602318662283E-2</v>
      </c>
      <c r="AA23" s="40">
        <f t="shared" si="6"/>
        <v>7.4115703989209589E-3</v>
      </c>
      <c r="AB23" s="6">
        <f t="shared" si="7"/>
        <v>0.46218715367565577</v>
      </c>
      <c r="AC23" s="6">
        <f t="shared" si="8"/>
        <v>0.46188322700476464</v>
      </c>
      <c r="AD23" s="6">
        <f t="shared" si="9"/>
        <v>0.51494884145674846</v>
      </c>
      <c r="AE23" s="40">
        <f t="shared" si="10"/>
        <v>1.347042868449504E-2</v>
      </c>
      <c r="AF23" s="40">
        <f t="shared" si="11"/>
        <v>1.1884049474339449E-2</v>
      </c>
      <c r="AG23" s="40">
        <f t="shared" si="12"/>
        <v>3.0080601859007839E-2</v>
      </c>
      <c r="AH23" s="40">
        <f t="shared" si="13"/>
        <v>3.9674986597582999E-2</v>
      </c>
      <c r="AI23" s="40">
        <f t="shared" si="14"/>
        <v>3.1871139220347657E-2</v>
      </c>
      <c r="AJ23" s="41">
        <f t="shared" si="15"/>
        <v>9.5130684672140281E-2</v>
      </c>
      <c r="AK23" s="42"/>
      <c r="AL23" s="48">
        <f t="shared" si="16"/>
        <v>3.6505205736001363E-2</v>
      </c>
      <c r="AM23" s="6">
        <f t="shared" si="17"/>
        <v>4.431628485166117E-2</v>
      </c>
      <c r="AN23" s="41">
        <f t="shared" si="18"/>
        <v>2.0166073017258795E-2</v>
      </c>
      <c r="AO23" s="36"/>
      <c r="AP23" s="48">
        <f t="shared" si="19"/>
        <v>1.014437498695915</v>
      </c>
      <c r="AQ23" s="6">
        <f t="shared" si="20"/>
        <v>0.88683694732855889</v>
      </c>
      <c r="AR23" s="6">
        <f t="shared" si="21"/>
        <v>-6.4084883453567526E-2</v>
      </c>
      <c r="AS23" s="6">
        <f t="shared" si="22"/>
        <v>0.44543199400073036</v>
      </c>
      <c r="AT23" s="6">
        <f t="shared" si="23"/>
        <v>0.16146122157138854</v>
      </c>
      <c r="AU23" s="69">
        <v>2.12</v>
      </c>
      <c r="AV23" s="70">
        <v>1.35</v>
      </c>
      <c r="AW23" s="36"/>
      <c r="AX23" s="48">
        <f t="shared" si="24"/>
        <v>0.13347139267781191</v>
      </c>
      <c r="AY23" s="6">
        <v>6.9000000000000006E-2</v>
      </c>
      <c r="AZ23" s="6">
        <f t="shared" si="25"/>
        <v>0.18570144136233915</v>
      </c>
      <c r="BA23" s="6">
        <f t="shared" si="26"/>
        <v>0.20182598648892114</v>
      </c>
      <c r="BB23" s="41">
        <f t="shared" si="27"/>
        <v>0.21795053161550312</v>
      </c>
      <c r="BC23" s="6"/>
      <c r="BD23" s="48">
        <v>0.17929999999999999</v>
      </c>
      <c r="BE23" s="6">
        <v>0.1968</v>
      </c>
      <c r="BF23" s="41">
        <v>0.21479999999999999</v>
      </c>
      <c r="BG23" s="6"/>
      <c r="BH23" s="48"/>
      <c r="BI23" s="41">
        <v>1.2999999999999999E-2</v>
      </c>
      <c r="BJ23" s="48"/>
      <c r="BK23" s="41"/>
      <c r="BL23" s="63"/>
      <c r="BM23" s="6"/>
      <c r="BN23" s="48"/>
      <c r="BO23" s="41">
        <f t="shared" si="70"/>
        <v>4.1299999999999976E-2</v>
      </c>
      <c r="BP23" s="6"/>
      <c r="BQ23" s="48"/>
      <c r="BR23" s="41">
        <f t="shared" si="71"/>
        <v>4.3800000000000006E-2</v>
      </c>
      <c r="BS23" s="6"/>
      <c r="BT23" s="48"/>
      <c r="BU23" s="41">
        <f t="shared" si="69"/>
        <v>4.1799999999999976E-2</v>
      </c>
      <c r="BV23" s="36"/>
      <c r="BW23" s="39">
        <f t="shared" si="28"/>
        <v>1.3014770465260533E-4</v>
      </c>
      <c r="BX23" s="6">
        <f t="shared" si="29"/>
        <v>6.1819157499329244E-3</v>
      </c>
      <c r="BY23" s="40">
        <f t="shared" si="30"/>
        <v>1.6326035931929197E-3</v>
      </c>
      <c r="BZ23" s="6">
        <f t="shared" si="31"/>
        <v>9.140421354161812E-3</v>
      </c>
      <c r="CA23" s="6">
        <f t="shared" si="32"/>
        <v>0.89781077957875954</v>
      </c>
      <c r="CB23" s="41">
        <f t="shared" si="33"/>
        <v>0.94782904126329959</v>
      </c>
      <c r="CC23" s="36"/>
      <c r="CD23" s="35">
        <v>7.9370000000000003</v>
      </c>
      <c r="CE23" s="36">
        <v>389.416</v>
      </c>
      <c r="CF23" s="37">
        <f t="shared" si="34"/>
        <v>397.35300000000001</v>
      </c>
      <c r="CG23" s="33">
        <f t="shared" si="35"/>
        <v>9010.1479999999992</v>
      </c>
      <c r="CH23" s="36">
        <v>4.0410000000000004</v>
      </c>
      <c r="CI23" s="36">
        <v>6.6460000000000008</v>
      </c>
      <c r="CJ23" s="37">
        <f t="shared" si="36"/>
        <v>8999.4609999999993</v>
      </c>
      <c r="CK23" s="36">
        <v>1525.076</v>
      </c>
      <c r="CL23" s="36">
        <v>1025.6079999999999</v>
      </c>
      <c r="CM23" s="37">
        <f t="shared" si="37"/>
        <v>2550.6840000000002</v>
      </c>
      <c r="CN23" s="36">
        <v>0</v>
      </c>
      <c r="CO23" s="36">
        <v>0</v>
      </c>
      <c r="CP23" s="36">
        <v>3.56</v>
      </c>
      <c r="CQ23" s="36">
        <v>26.400000000001857</v>
      </c>
      <c r="CR23" s="37">
        <f t="shared" si="38"/>
        <v>11977.458000000001</v>
      </c>
      <c r="CS23" s="36">
        <v>1E-3</v>
      </c>
      <c r="CT23" s="33">
        <v>9140.232</v>
      </c>
      <c r="CU23" s="37">
        <f t="shared" si="39"/>
        <v>9140.2330000000002</v>
      </c>
      <c r="CV23" s="36">
        <v>1015.958</v>
      </c>
      <c r="CW23" s="36">
        <v>72.257000000000289</v>
      </c>
      <c r="CX23" s="37">
        <f t="shared" si="40"/>
        <v>1088.2150000000001</v>
      </c>
      <c r="CY23" s="36">
        <v>150.36199999999999</v>
      </c>
      <c r="CZ23" s="36">
        <v>1598.6479999999999</v>
      </c>
      <c r="DA23" s="71">
        <f t="shared" si="41"/>
        <v>11977.457999999999</v>
      </c>
      <c r="DB23" s="36"/>
      <c r="DC23" s="72">
        <v>1933.895</v>
      </c>
      <c r="DD23" s="36"/>
      <c r="DE23" s="32">
        <v>255</v>
      </c>
      <c r="DF23" s="33">
        <v>400</v>
      </c>
      <c r="DG23" s="33">
        <v>435</v>
      </c>
      <c r="DH23" s="33">
        <v>0</v>
      </c>
      <c r="DI23" s="33">
        <v>0</v>
      </c>
      <c r="DJ23" s="33">
        <v>75</v>
      </c>
      <c r="DK23" s="34">
        <f t="shared" si="42"/>
        <v>1165</v>
      </c>
      <c r="DL23" s="63">
        <f t="shared" si="43"/>
        <v>9.7266047603756983E-2</v>
      </c>
      <c r="DM23" s="63">
        <f t="shared" si="44"/>
        <v>0.4578754523706115</v>
      </c>
      <c r="DN23" s="36"/>
      <c r="DO23" s="65" t="s">
        <v>187</v>
      </c>
      <c r="DP23" s="59">
        <v>63</v>
      </c>
      <c r="DQ23" s="59">
        <v>36062</v>
      </c>
      <c r="DR23" s="73">
        <v>8</v>
      </c>
      <c r="DS23" s="59" t="s">
        <v>163</v>
      </c>
      <c r="DT23" s="75" t="s">
        <v>164</v>
      </c>
      <c r="DU23" s="62" t="s">
        <v>165</v>
      </c>
      <c r="DV23" s="63">
        <v>0.17166942256905618</v>
      </c>
      <c r="DW23" s="64"/>
      <c r="DX23" s="32">
        <v>863.75199999999995</v>
      </c>
      <c r="DY23" s="33">
        <v>938.75199999999995</v>
      </c>
      <c r="DZ23" s="34">
        <v>1013.752</v>
      </c>
      <c r="EA23" s="33"/>
      <c r="EB23" s="65">
        <f t="shared" si="45"/>
        <v>4696.9139999999998</v>
      </c>
      <c r="EC23" s="33">
        <v>4742.5339999999997</v>
      </c>
      <c r="ED23" s="34">
        <v>4651.2939999999999</v>
      </c>
      <c r="EE23" s="33"/>
      <c r="EF23" s="32">
        <v>0</v>
      </c>
      <c r="EG23" s="33">
        <v>0</v>
      </c>
      <c r="EH23" s="33">
        <v>83.53</v>
      </c>
      <c r="EI23" s="33">
        <v>0</v>
      </c>
      <c r="EJ23" s="33">
        <v>746.38499999999999</v>
      </c>
      <c r="EK23" s="33">
        <v>0</v>
      </c>
      <c r="EL23" s="33">
        <v>7.4729999999981374</v>
      </c>
      <c r="EM23" s="34">
        <v>7849.9210000000003</v>
      </c>
      <c r="EN23" s="34">
        <f t="shared" si="46"/>
        <v>8687.3089999999975</v>
      </c>
      <c r="EO23" s="59"/>
      <c r="EP23" s="48">
        <f t="shared" si="47"/>
        <v>0</v>
      </c>
      <c r="EQ23" s="6">
        <f t="shared" si="47"/>
        <v>0</v>
      </c>
      <c r="ER23" s="6">
        <f t="shared" si="47"/>
        <v>9.6151754242884673E-3</v>
      </c>
      <c r="ES23" s="6">
        <f t="shared" si="47"/>
        <v>0</v>
      </c>
      <c r="ET23" s="6">
        <f t="shared" si="47"/>
        <v>8.5916709075272935E-2</v>
      </c>
      <c r="EU23" s="6">
        <f t="shared" si="47"/>
        <v>0</v>
      </c>
      <c r="EV23" s="6">
        <f t="shared" si="47"/>
        <v>8.6022035131916449E-4</v>
      </c>
      <c r="EW23" s="6">
        <f t="shared" si="47"/>
        <v>0.90360789514911954</v>
      </c>
      <c r="EX23" s="63">
        <f t="shared" si="48"/>
        <v>1</v>
      </c>
      <c r="EY23" s="59"/>
      <c r="EZ23" s="35">
        <v>9.1839999999999993</v>
      </c>
      <c r="FA23" s="36">
        <v>5.5259999999999998</v>
      </c>
      <c r="FB23" s="71">
        <f t="shared" si="49"/>
        <v>14.709999999999999</v>
      </c>
      <c r="FD23" s="35">
        <f t="shared" si="50"/>
        <v>4.0410000000000004</v>
      </c>
      <c r="FE23" s="36">
        <f t="shared" si="50"/>
        <v>6.6460000000000008</v>
      </c>
      <c r="FF23" s="71">
        <f t="shared" si="51"/>
        <v>10.687000000000001</v>
      </c>
      <c r="FH23" s="32">
        <f t="shared" si="52"/>
        <v>8089.4080000000004</v>
      </c>
      <c r="FI23" s="33">
        <f t="shared" si="53"/>
        <v>920.73999999999876</v>
      </c>
      <c r="FJ23" s="34">
        <f t="shared" si="54"/>
        <v>9010.1479999999992</v>
      </c>
      <c r="FL23" s="48">
        <v>0.89781077957875954</v>
      </c>
      <c r="FM23" s="6">
        <v>0.10218922042124046</v>
      </c>
      <c r="FN23" s="41">
        <f t="shared" si="55"/>
        <v>1</v>
      </c>
      <c r="FO23" s="59"/>
      <c r="FP23" s="65">
        <f t="shared" si="56"/>
        <v>1485.1779999999999</v>
      </c>
      <c r="FQ23" s="33">
        <v>1371.7080000000001</v>
      </c>
      <c r="FR23" s="34">
        <f t="shared" si="57"/>
        <v>1598.6479999999999</v>
      </c>
      <c r="FT23" s="65">
        <f t="shared" si="58"/>
        <v>8851.4814999999999</v>
      </c>
      <c r="FU23" s="33">
        <v>8692.8150000000005</v>
      </c>
      <c r="FV23" s="34">
        <f t="shared" si="59"/>
        <v>9010.1479999999992</v>
      </c>
      <c r="FX23" s="65">
        <f t="shared" si="60"/>
        <v>8422.5709999999999</v>
      </c>
      <c r="FY23" s="33">
        <v>8206.7739999999994</v>
      </c>
      <c r="FZ23" s="34">
        <f t="shared" si="61"/>
        <v>8638.3680000000004</v>
      </c>
      <c r="GB23" s="65">
        <f t="shared" si="62"/>
        <v>17274.052499999998</v>
      </c>
      <c r="GC23" s="59">
        <f t="shared" si="63"/>
        <v>16899.589</v>
      </c>
      <c r="GD23" s="73">
        <f t="shared" si="63"/>
        <v>17648.516</v>
      </c>
      <c r="GF23" s="65">
        <f t="shared" si="64"/>
        <v>9049.8924999999999</v>
      </c>
      <c r="GG23" s="33">
        <v>8959.5529999999999</v>
      </c>
      <c r="GH23" s="34">
        <f t="shared" si="65"/>
        <v>9140.232</v>
      </c>
      <c r="GI23" s="33"/>
      <c r="GJ23" s="65">
        <f t="shared" si="66"/>
        <v>11888.708500000001</v>
      </c>
      <c r="GK23" s="33">
        <v>11799.959000000001</v>
      </c>
      <c r="GL23" s="34">
        <f t="shared" si="67"/>
        <v>11977.458000000001</v>
      </c>
      <c r="GM23" s="33"/>
      <c r="GN23" s="76">
        <f t="shared" si="68"/>
        <v>0.38833732499834267</v>
      </c>
      <c r="GO23" s="67"/>
    </row>
    <row r="24" spans="2:197" s="1" customFormat="1" x14ac:dyDescent="0.2">
      <c r="B24" s="77" t="s">
        <v>192</v>
      </c>
      <c r="C24" s="32">
        <v>17247.145</v>
      </c>
      <c r="D24" s="33">
        <v>16905.643499999998</v>
      </c>
      <c r="E24" s="33">
        <v>13778.431</v>
      </c>
      <c r="F24" s="33">
        <v>6271.1039999999994</v>
      </c>
      <c r="G24" s="33">
        <v>11289.044</v>
      </c>
      <c r="H24" s="33">
        <v>23518.249</v>
      </c>
      <c r="I24" s="34">
        <v>20049.535</v>
      </c>
      <c r="J24" s="33"/>
      <c r="K24" s="35">
        <v>175.35500000000002</v>
      </c>
      <c r="L24" s="36">
        <v>44.969000000000001</v>
      </c>
      <c r="M24" s="36">
        <v>0.21299999999999999</v>
      </c>
      <c r="N24" s="37">
        <f t="shared" si="0"/>
        <v>220.53700000000001</v>
      </c>
      <c r="O24" s="36">
        <v>95.644999999999996</v>
      </c>
      <c r="P24" s="37">
        <f t="shared" si="1"/>
        <v>124.89200000000001</v>
      </c>
      <c r="Q24" s="36">
        <v>8.8999999999999996E-2</v>
      </c>
      <c r="R24" s="37">
        <f t="shared" si="2"/>
        <v>124.80300000000001</v>
      </c>
      <c r="S24" s="36">
        <v>32.08</v>
      </c>
      <c r="T24" s="36">
        <v>0.70100000000000007</v>
      </c>
      <c r="U24" s="36">
        <v>-3.5</v>
      </c>
      <c r="V24" s="37">
        <f t="shared" si="3"/>
        <v>154.084</v>
      </c>
      <c r="W24" s="36">
        <v>15.648000000000001</v>
      </c>
      <c r="X24" s="38">
        <f t="shared" si="4"/>
        <v>138.43600000000001</v>
      </c>
      <c r="Y24" s="36"/>
      <c r="Z24" s="39">
        <f t="shared" si="5"/>
        <v>2.0745143478271031E-2</v>
      </c>
      <c r="AA24" s="40">
        <f t="shared" si="6"/>
        <v>5.3199986146637958E-3</v>
      </c>
      <c r="AB24" s="6">
        <f t="shared" si="7"/>
        <v>0.37756890548638466</v>
      </c>
      <c r="AC24" s="6">
        <f t="shared" si="8"/>
        <v>0.37861664100199111</v>
      </c>
      <c r="AD24" s="6">
        <f t="shared" si="9"/>
        <v>0.43369139872220985</v>
      </c>
      <c r="AE24" s="40">
        <f t="shared" si="10"/>
        <v>1.1315156385499316E-2</v>
      </c>
      <c r="AF24" s="40">
        <f t="shared" si="11"/>
        <v>1.6377489564357608E-2</v>
      </c>
      <c r="AG24" s="40">
        <f t="shared" si="12"/>
        <v>3.5161680077884207E-2</v>
      </c>
      <c r="AH24" s="40">
        <f t="shared" si="13"/>
        <v>4.0047730235778525E-2</v>
      </c>
      <c r="AI24" s="40">
        <f t="shared" si="14"/>
        <v>3.169900285157172E-2</v>
      </c>
      <c r="AJ24" s="41">
        <f t="shared" si="15"/>
        <v>0.12943402533077619</v>
      </c>
      <c r="AK24" s="42"/>
      <c r="AL24" s="48">
        <f t="shared" si="16"/>
        <v>2.9731617496489643E-2</v>
      </c>
      <c r="AM24" s="6">
        <f t="shared" si="17"/>
        <v>4.6112181306663433E-2</v>
      </c>
      <c r="AN24" s="41">
        <f t="shared" si="18"/>
        <v>4.9144354507367385E-2</v>
      </c>
      <c r="AO24" s="36"/>
      <c r="AP24" s="48">
        <f t="shared" si="19"/>
        <v>0.81932725141200757</v>
      </c>
      <c r="AQ24" s="6">
        <f t="shared" si="20"/>
        <v>0.75710340836043055</v>
      </c>
      <c r="AR24" s="6">
        <f t="shared" si="21"/>
        <v>6.9634655474862653E-2</v>
      </c>
      <c r="AS24" s="6">
        <f t="shared" si="22"/>
        <v>0.37143289512554101</v>
      </c>
      <c r="AT24" s="6">
        <f t="shared" si="23"/>
        <v>0.14035899854729578</v>
      </c>
      <c r="AU24" s="69">
        <v>3.0013000000000001</v>
      </c>
      <c r="AV24" s="70">
        <v>1.3879999999999999</v>
      </c>
      <c r="AW24" s="36"/>
      <c r="AX24" s="48">
        <f t="shared" si="24"/>
        <v>0.1284255452134252</v>
      </c>
      <c r="AY24" s="6">
        <v>9.5500000000000002E-2</v>
      </c>
      <c r="AZ24" s="6">
        <f t="shared" si="25"/>
        <v>0.19036098496164544</v>
      </c>
      <c r="BA24" s="6">
        <f t="shared" si="26"/>
        <v>0.20902470491725564</v>
      </c>
      <c r="BB24" s="41">
        <f t="shared" si="27"/>
        <v>0.23390966485806927</v>
      </c>
      <c r="BC24" s="6"/>
      <c r="BD24" s="48">
        <v>0.188</v>
      </c>
      <c r="BE24" s="6">
        <v>0.20599999999999999</v>
      </c>
      <c r="BF24" s="41">
        <v>0.23</v>
      </c>
      <c r="BG24" s="6"/>
      <c r="BH24" s="48"/>
      <c r="BI24" s="41">
        <v>1.9E-2</v>
      </c>
      <c r="BJ24" s="48"/>
      <c r="BK24" s="41"/>
      <c r="BL24" s="63"/>
      <c r="BM24" s="6"/>
      <c r="BN24" s="48"/>
      <c r="BO24" s="41">
        <f t="shared" si="70"/>
        <v>4.4000000000000011E-2</v>
      </c>
      <c r="BP24" s="6"/>
      <c r="BQ24" s="48"/>
      <c r="BR24" s="41">
        <f t="shared" si="71"/>
        <v>4.7000000000000014E-2</v>
      </c>
      <c r="BS24" s="6"/>
      <c r="BT24" s="48"/>
      <c r="BU24" s="41">
        <f t="shared" si="69"/>
        <v>5.1000000000000018E-2</v>
      </c>
      <c r="BV24" s="36"/>
      <c r="BW24" s="39">
        <f t="shared" si="28"/>
        <v>1.3107976774579802E-5</v>
      </c>
      <c r="BX24" s="6">
        <f t="shared" si="29"/>
        <v>5.6445935575526564E-4</v>
      </c>
      <c r="BY24" s="40">
        <f t="shared" si="30"/>
        <v>6.4632177640545569E-3</v>
      </c>
      <c r="BZ24" s="6">
        <f t="shared" si="31"/>
        <v>3.9587750037897156E-2</v>
      </c>
      <c r="CA24" s="6">
        <f t="shared" si="32"/>
        <v>0.64200604553595386</v>
      </c>
      <c r="CB24" s="41">
        <f t="shared" si="33"/>
        <v>0.75397958107257845</v>
      </c>
      <c r="CC24" s="36"/>
      <c r="CD24" s="35">
        <v>35.393000000000001</v>
      </c>
      <c r="CE24" s="36">
        <v>783.11</v>
      </c>
      <c r="CF24" s="37">
        <f t="shared" si="34"/>
        <v>818.50300000000004</v>
      </c>
      <c r="CG24" s="33">
        <f t="shared" si="35"/>
        <v>13778.431</v>
      </c>
      <c r="CH24" s="36">
        <v>8.4499999999999993</v>
      </c>
      <c r="CI24" s="36">
        <v>26.085000000000001</v>
      </c>
      <c r="CJ24" s="37">
        <f t="shared" si="36"/>
        <v>13743.896000000001</v>
      </c>
      <c r="CK24" s="36">
        <v>1601.845</v>
      </c>
      <c r="CL24" s="36">
        <v>945.19600000000003</v>
      </c>
      <c r="CM24" s="37">
        <f t="shared" si="37"/>
        <v>2547.0410000000002</v>
      </c>
      <c r="CN24" s="36">
        <v>6.81</v>
      </c>
      <c r="CO24" s="36">
        <v>6.7679999999999998</v>
      </c>
      <c r="CP24" s="36">
        <v>87.804000000000002</v>
      </c>
      <c r="CQ24" s="36">
        <v>36.322999999999013</v>
      </c>
      <c r="CR24" s="37">
        <f t="shared" si="38"/>
        <v>17247.145000000004</v>
      </c>
      <c r="CS24" s="36">
        <v>0</v>
      </c>
      <c r="CT24" s="33">
        <v>11289.044</v>
      </c>
      <c r="CU24" s="37">
        <f t="shared" si="39"/>
        <v>11289.044</v>
      </c>
      <c r="CV24" s="36">
        <v>3270.605</v>
      </c>
      <c r="CW24" s="36">
        <v>121.33600000000024</v>
      </c>
      <c r="CX24" s="37">
        <f t="shared" si="40"/>
        <v>3391.9410000000003</v>
      </c>
      <c r="CY24" s="36">
        <v>351.18599999999998</v>
      </c>
      <c r="CZ24" s="36">
        <v>2214.9740000000002</v>
      </c>
      <c r="DA24" s="71">
        <f t="shared" si="41"/>
        <v>17247.145</v>
      </c>
      <c r="DB24" s="36"/>
      <c r="DC24" s="72">
        <v>2420.7919999999999</v>
      </c>
      <c r="DD24" s="36"/>
      <c r="DE24" s="32">
        <v>575</v>
      </c>
      <c r="DF24" s="33">
        <v>800</v>
      </c>
      <c r="DG24" s="33">
        <v>1000</v>
      </c>
      <c r="DH24" s="33">
        <v>500</v>
      </c>
      <c r="DI24" s="33">
        <v>500</v>
      </c>
      <c r="DJ24" s="33">
        <v>250</v>
      </c>
      <c r="DK24" s="34">
        <f t="shared" si="42"/>
        <v>3625</v>
      </c>
      <c r="DL24" s="63">
        <f t="shared" si="43"/>
        <v>0.2101797138019075</v>
      </c>
      <c r="DM24" s="63">
        <f t="shared" si="44"/>
        <v>0.39198093365597608</v>
      </c>
      <c r="DN24" s="36"/>
      <c r="DO24" s="65" t="s">
        <v>193</v>
      </c>
      <c r="DP24" s="59">
        <v>86</v>
      </c>
      <c r="DQ24" s="59">
        <v>31994</v>
      </c>
      <c r="DR24" s="73">
        <v>5</v>
      </c>
      <c r="DS24" s="59" t="s">
        <v>163</v>
      </c>
      <c r="DT24" s="75" t="s">
        <v>164</v>
      </c>
      <c r="DU24" s="62" t="s">
        <v>170</v>
      </c>
      <c r="DV24" s="63">
        <v>0.52116090615678912</v>
      </c>
      <c r="DW24" s="64"/>
      <c r="DX24" s="32">
        <v>1529.9280000000001</v>
      </c>
      <c r="DY24" s="33">
        <v>1679.9280000000001</v>
      </c>
      <c r="DZ24" s="34">
        <v>1879.9280000000001</v>
      </c>
      <c r="EA24" s="33"/>
      <c r="EB24" s="65">
        <f t="shared" si="45"/>
        <v>7874.2539999999999</v>
      </c>
      <c r="EC24" s="33">
        <v>7711.5249999999996</v>
      </c>
      <c r="ED24" s="34">
        <v>8036.9830000000002</v>
      </c>
      <c r="EE24" s="33"/>
      <c r="EF24" s="32">
        <v>2458.85</v>
      </c>
      <c r="EG24" s="33">
        <v>107.048</v>
      </c>
      <c r="EH24" s="33">
        <v>321.20600000000002</v>
      </c>
      <c r="EI24" s="33">
        <v>77.951999999999998</v>
      </c>
      <c r="EJ24" s="33">
        <v>1615.991</v>
      </c>
      <c r="EK24" s="33">
        <v>82.427999999999997</v>
      </c>
      <c r="EL24" s="33">
        <v>80.956000000000003</v>
      </c>
      <c r="EM24" s="34">
        <v>8773.3610000000008</v>
      </c>
      <c r="EN24" s="34">
        <f t="shared" si="46"/>
        <v>13517.792000000001</v>
      </c>
      <c r="EO24" s="59"/>
      <c r="EP24" s="48">
        <f t="shared" si="47"/>
        <v>0.18189730985652092</v>
      </c>
      <c r="EQ24" s="6">
        <f t="shared" si="47"/>
        <v>7.919044767074385E-3</v>
      </c>
      <c r="ER24" s="6">
        <f t="shared" si="47"/>
        <v>2.3761720849085413E-2</v>
      </c>
      <c r="ES24" s="6">
        <f t="shared" si="47"/>
        <v>5.7666222412654363E-3</v>
      </c>
      <c r="ET24" s="6">
        <f t="shared" si="47"/>
        <v>0.11954548494310312</v>
      </c>
      <c r="EU24" s="6">
        <f t="shared" si="47"/>
        <v>6.097741406288837E-3</v>
      </c>
      <c r="EV24" s="6">
        <f t="shared" si="47"/>
        <v>5.9888478828495064E-3</v>
      </c>
      <c r="EW24" s="6">
        <f t="shared" si="47"/>
        <v>0.6490232280538123</v>
      </c>
      <c r="EX24" s="63">
        <f t="shared" si="48"/>
        <v>0.99999999999999978</v>
      </c>
      <c r="EY24" s="59"/>
      <c r="EZ24" s="35">
        <v>23.692</v>
      </c>
      <c r="FA24" s="36">
        <v>65.361000000000004</v>
      </c>
      <c r="FB24" s="71">
        <f t="shared" si="49"/>
        <v>89.052999999999997</v>
      </c>
      <c r="FD24" s="35">
        <f t="shared" si="50"/>
        <v>8.4499999999999993</v>
      </c>
      <c r="FE24" s="36">
        <f t="shared" si="50"/>
        <v>26.085000000000001</v>
      </c>
      <c r="FF24" s="71">
        <f t="shared" si="51"/>
        <v>34.534999999999997</v>
      </c>
      <c r="FH24" s="32">
        <f t="shared" si="52"/>
        <v>8845.8359999999993</v>
      </c>
      <c r="FI24" s="33">
        <f t="shared" si="53"/>
        <v>4932.5950000000021</v>
      </c>
      <c r="FJ24" s="34">
        <f t="shared" si="54"/>
        <v>13778.431</v>
      </c>
      <c r="FL24" s="48">
        <v>0.64200604553595386</v>
      </c>
      <c r="FM24" s="6">
        <v>0.35799395446404614</v>
      </c>
      <c r="FN24" s="41">
        <f t="shared" si="55"/>
        <v>1</v>
      </c>
      <c r="FO24" s="59"/>
      <c r="FP24" s="65">
        <f t="shared" si="56"/>
        <v>2139.0974999999999</v>
      </c>
      <c r="FQ24" s="33">
        <v>2063.221</v>
      </c>
      <c r="FR24" s="34">
        <f t="shared" si="57"/>
        <v>2214.9740000000002</v>
      </c>
      <c r="FT24" s="65">
        <f t="shared" si="58"/>
        <v>13579.517500000002</v>
      </c>
      <c r="FU24" s="33">
        <v>13380.604000000001</v>
      </c>
      <c r="FV24" s="34">
        <f t="shared" si="59"/>
        <v>13778.431</v>
      </c>
      <c r="FX24" s="65">
        <f t="shared" si="60"/>
        <v>6028.1299999999992</v>
      </c>
      <c r="FY24" s="33">
        <v>5785.1559999999999</v>
      </c>
      <c r="FZ24" s="34">
        <f t="shared" si="61"/>
        <v>6271.1039999999994</v>
      </c>
      <c r="GB24" s="65">
        <f t="shared" si="62"/>
        <v>19607.647499999999</v>
      </c>
      <c r="GC24" s="59">
        <f t="shared" si="63"/>
        <v>19165.760000000002</v>
      </c>
      <c r="GD24" s="73">
        <f t="shared" si="63"/>
        <v>20049.535</v>
      </c>
      <c r="GF24" s="65">
        <f t="shared" si="64"/>
        <v>11024.6415</v>
      </c>
      <c r="GG24" s="33">
        <v>10760.239</v>
      </c>
      <c r="GH24" s="34">
        <f t="shared" si="65"/>
        <v>11289.044</v>
      </c>
      <c r="GI24" s="33"/>
      <c r="GJ24" s="65">
        <f t="shared" si="66"/>
        <v>16905.643499999998</v>
      </c>
      <c r="GK24" s="33">
        <v>16564.142</v>
      </c>
      <c r="GL24" s="34">
        <f t="shared" si="67"/>
        <v>17247.145</v>
      </c>
      <c r="GM24" s="33"/>
      <c r="GN24" s="76">
        <f t="shared" si="68"/>
        <v>0.46598918255746097</v>
      </c>
      <c r="GO24" s="67"/>
    </row>
    <row r="25" spans="2:197" s="1" customFormat="1" x14ac:dyDescent="0.2">
      <c r="B25" s="77" t="s">
        <v>194</v>
      </c>
      <c r="C25" s="32">
        <v>3444.37</v>
      </c>
      <c r="D25" s="33">
        <v>3338.6444999999999</v>
      </c>
      <c r="E25" s="33">
        <v>2598.9410000000003</v>
      </c>
      <c r="F25" s="33">
        <v>1206.385</v>
      </c>
      <c r="G25" s="33">
        <v>2483.6640000000002</v>
      </c>
      <c r="H25" s="33">
        <v>4650.7550000000001</v>
      </c>
      <c r="I25" s="34">
        <v>3805.326</v>
      </c>
      <c r="J25" s="33"/>
      <c r="K25" s="35">
        <v>38.96</v>
      </c>
      <c r="L25" s="36">
        <v>10.350999999999999</v>
      </c>
      <c r="M25" s="36">
        <v>0.14100000000000001</v>
      </c>
      <c r="N25" s="37">
        <f t="shared" si="0"/>
        <v>49.451999999999998</v>
      </c>
      <c r="O25" s="36">
        <v>26.480999999999998</v>
      </c>
      <c r="P25" s="37">
        <f t="shared" si="1"/>
        <v>22.971</v>
      </c>
      <c r="Q25" s="36">
        <v>9.0999999999999998E-2</v>
      </c>
      <c r="R25" s="37">
        <f t="shared" si="2"/>
        <v>22.88</v>
      </c>
      <c r="S25" s="36">
        <v>6.7939999999999996</v>
      </c>
      <c r="T25" s="36">
        <v>-0.57299999999999995</v>
      </c>
      <c r="U25" s="36">
        <v>-0.98000000000000009</v>
      </c>
      <c r="V25" s="37">
        <f t="shared" si="3"/>
        <v>28.120999999999999</v>
      </c>
      <c r="W25" s="36">
        <v>5.7320000000000002</v>
      </c>
      <c r="X25" s="38">
        <f t="shared" si="4"/>
        <v>22.388999999999999</v>
      </c>
      <c r="Y25" s="36"/>
      <c r="Z25" s="39">
        <f t="shared" si="5"/>
        <v>2.33388131021437E-2</v>
      </c>
      <c r="AA25" s="40">
        <f t="shared" si="6"/>
        <v>6.2007200826562992E-3</v>
      </c>
      <c r="AB25" s="6">
        <f t="shared" si="7"/>
        <v>0.47565247067698885</v>
      </c>
      <c r="AC25" s="6">
        <f t="shared" si="8"/>
        <v>0.4708068129289194</v>
      </c>
      <c r="AD25" s="6">
        <f t="shared" si="9"/>
        <v>0.53548895899053628</v>
      </c>
      <c r="AE25" s="40">
        <f t="shared" si="10"/>
        <v>1.5863324172429857E-2</v>
      </c>
      <c r="AF25" s="40">
        <f t="shared" si="11"/>
        <v>1.3412029942091768E-2</v>
      </c>
      <c r="AG25" s="40">
        <f t="shared" si="12"/>
        <v>3.0609461740223574E-2</v>
      </c>
      <c r="AH25" s="40">
        <f t="shared" si="13"/>
        <v>3.9910286619349082E-2</v>
      </c>
      <c r="AI25" s="40">
        <f t="shared" si="14"/>
        <v>3.1280739855121503E-2</v>
      </c>
      <c r="AJ25" s="41">
        <f t="shared" si="15"/>
        <v>0.10073994749050037</v>
      </c>
      <c r="AK25" s="42"/>
      <c r="AL25" s="48">
        <f t="shared" si="16"/>
        <v>7.4514452320077904E-2</v>
      </c>
      <c r="AM25" s="6">
        <f t="shared" si="17"/>
        <v>7.8800091512966283E-2</v>
      </c>
      <c r="AN25" s="41">
        <f t="shared" si="18"/>
        <v>8.8382573531635228E-2</v>
      </c>
      <c r="AO25" s="36"/>
      <c r="AP25" s="48">
        <f t="shared" si="19"/>
        <v>0.95564462602267619</v>
      </c>
      <c r="AQ25" s="6">
        <f t="shared" si="20"/>
        <v>0.8413461733895391</v>
      </c>
      <c r="AR25" s="6">
        <f t="shared" si="21"/>
        <v>-5.5359035179147455E-2</v>
      </c>
      <c r="AS25" s="6">
        <f t="shared" si="22"/>
        <v>0.2905885546558587</v>
      </c>
      <c r="AT25" s="6">
        <f t="shared" si="23"/>
        <v>0.19133397399234114</v>
      </c>
      <c r="AU25" s="69">
        <v>4.8600000000000003</v>
      </c>
      <c r="AV25" s="70">
        <v>1.71</v>
      </c>
      <c r="AW25" s="36"/>
      <c r="AX25" s="48">
        <f t="shared" si="24"/>
        <v>0.13475933189523773</v>
      </c>
      <c r="AY25" s="6">
        <v>0.10050000000000001</v>
      </c>
      <c r="AZ25" s="6">
        <f t="shared" si="25"/>
        <v>0.20689971533143553</v>
      </c>
      <c r="BA25" s="6">
        <f t="shared" si="26"/>
        <v>0.22641984546563643</v>
      </c>
      <c r="BB25" s="41">
        <f t="shared" si="27"/>
        <v>0.25244668564457096</v>
      </c>
      <c r="BC25" s="6"/>
      <c r="BD25" s="48">
        <v>0.20449999999999999</v>
      </c>
      <c r="BE25" s="6">
        <v>0.224</v>
      </c>
      <c r="BF25" s="41">
        <v>0.24859999999999999</v>
      </c>
      <c r="BG25" s="6"/>
      <c r="BH25" s="48"/>
      <c r="BI25" s="41">
        <v>2.5999999999999999E-2</v>
      </c>
      <c r="BJ25" s="48"/>
      <c r="BK25" s="41"/>
      <c r="BL25" s="63"/>
      <c r="BM25" s="6"/>
      <c r="BN25" s="48"/>
      <c r="BO25" s="41">
        <f t="shared" si="70"/>
        <v>5.3499999999999992E-2</v>
      </c>
      <c r="BP25" s="6"/>
      <c r="BQ25" s="48"/>
      <c r="BR25" s="41">
        <f t="shared" si="71"/>
        <v>5.8000000000000024E-2</v>
      </c>
      <c r="BS25" s="6"/>
      <c r="BT25" s="48"/>
      <c r="BU25" s="41">
        <f t="shared" si="69"/>
        <v>6.2599999999999989E-2</v>
      </c>
      <c r="BV25" s="36"/>
      <c r="BW25" s="39">
        <f t="shared" si="28"/>
        <v>7.2543876589313764E-5</v>
      </c>
      <c r="BX25" s="6">
        <f t="shared" si="29"/>
        <v>3.1172924088791448E-3</v>
      </c>
      <c r="BY25" s="40">
        <f t="shared" si="30"/>
        <v>2.4234871049400503E-2</v>
      </c>
      <c r="BZ25" s="6">
        <f t="shared" si="31"/>
        <v>0.13053804846809242</v>
      </c>
      <c r="CA25" s="6">
        <f t="shared" si="32"/>
        <v>0.84896771415742012</v>
      </c>
      <c r="CB25" s="41">
        <f t="shared" si="33"/>
        <v>0.89684878509751853</v>
      </c>
      <c r="CC25" s="36"/>
      <c r="CD25" s="35">
        <v>76.040000000000006</v>
      </c>
      <c r="CE25" s="36">
        <v>184.553</v>
      </c>
      <c r="CF25" s="37">
        <f t="shared" si="34"/>
        <v>260.59300000000002</v>
      </c>
      <c r="CG25" s="33">
        <f t="shared" si="35"/>
        <v>2598.9410000000003</v>
      </c>
      <c r="CH25" s="36">
        <v>11.175000000000001</v>
      </c>
      <c r="CI25" s="36">
        <v>7.1669999999999998</v>
      </c>
      <c r="CJ25" s="37">
        <f t="shared" si="36"/>
        <v>2580.5990000000002</v>
      </c>
      <c r="CK25" s="36">
        <v>398.43200000000002</v>
      </c>
      <c r="CL25" s="36">
        <v>167.15700000000001</v>
      </c>
      <c r="CM25" s="37">
        <f t="shared" si="37"/>
        <v>565.58900000000006</v>
      </c>
      <c r="CN25" s="36">
        <v>0.02</v>
      </c>
      <c r="CO25" s="36">
        <v>0</v>
      </c>
      <c r="CP25" s="36">
        <v>27.899000000000001</v>
      </c>
      <c r="CQ25" s="36">
        <v>9.6699999999998241</v>
      </c>
      <c r="CR25" s="37">
        <f t="shared" si="38"/>
        <v>3444.3699999999994</v>
      </c>
      <c r="CS25" s="36">
        <v>1.8660000000000001</v>
      </c>
      <c r="CT25" s="33">
        <v>2483.6640000000002</v>
      </c>
      <c r="CU25" s="37">
        <f t="shared" si="39"/>
        <v>2485.5300000000002</v>
      </c>
      <c r="CV25" s="36">
        <v>395.83600000000001</v>
      </c>
      <c r="CW25" s="36">
        <v>28.196999999999662</v>
      </c>
      <c r="CX25" s="37">
        <f t="shared" si="40"/>
        <v>424.03299999999967</v>
      </c>
      <c r="CY25" s="36">
        <v>70.646000000000001</v>
      </c>
      <c r="CZ25" s="36">
        <v>464.161</v>
      </c>
      <c r="DA25" s="71">
        <f t="shared" si="41"/>
        <v>3444.3700000000003</v>
      </c>
      <c r="DB25" s="36"/>
      <c r="DC25" s="72">
        <v>659.02500000000009</v>
      </c>
      <c r="DD25" s="36"/>
      <c r="DE25" s="32">
        <v>50</v>
      </c>
      <c r="DF25" s="33">
        <v>100</v>
      </c>
      <c r="DG25" s="33">
        <v>150</v>
      </c>
      <c r="DH25" s="33">
        <v>125</v>
      </c>
      <c r="DI25" s="33">
        <v>0</v>
      </c>
      <c r="DJ25" s="33">
        <v>40</v>
      </c>
      <c r="DK25" s="34">
        <f t="shared" si="42"/>
        <v>465</v>
      </c>
      <c r="DL25" s="63">
        <f t="shared" si="43"/>
        <v>0.13500291780499774</v>
      </c>
      <c r="DM25" s="63">
        <f t="shared" si="44"/>
        <v>0.31012710597293558</v>
      </c>
      <c r="DN25" s="36"/>
      <c r="DO25" s="65" t="s">
        <v>162</v>
      </c>
      <c r="DP25" s="59">
        <v>22.2</v>
      </c>
      <c r="DQ25" s="59">
        <v>8398</v>
      </c>
      <c r="DR25" s="73">
        <v>5</v>
      </c>
      <c r="DS25" s="59" t="s">
        <v>163</v>
      </c>
      <c r="DT25" s="75" t="s">
        <v>164</v>
      </c>
      <c r="DU25" s="62" t="s">
        <v>165</v>
      </c>
      <c r="DV25" s="63">
        <v>0.25544677349241457</v>
      </c>
      <c r="DW25" s="64"/>
      <c r="DX25" s="32">
        <v>317.97899999999998</v>
      </c>
      <c r="DY25" s="33">
        <v>347.97899999999998</v>
      </c>
      <c r="DZ25" s="34">
        <v>387.97899999999998</v>
      </c>
      <c r="EA25" s="33"/>
      <c r="EB25" s="65">
        <f t="shared" si="45"/>
        <v>1462.8809999999999</v>
      </c>
      <c r="EC25" s="33">
        <v>1388.8869999999999</v>
      </c>
      <c r="ED25" s="34">
        <v>1536.875</v>
      </c>
      <c r="EE25" s="33"/>
      <c r="EF25" s="32">
        <v>28.872</v>
      </c>
      <c r="EG25" s="33">
        <v>5.3719999999999999</v>
      </c>
      <c r="EH25" s="33">
        <v>63.213999999999999</v>
      </c>
      <c r="EI25" s="33">
        <v>18.535</v>
      </c>
      <c r="EJ25" s="33">
        <v>213.80600000000001</v>
      </c>
      <c r="EK25" s="33">
        <v>2.1219999999999999</v>
      </c>
      <c r="EL25" s="33">
        <v>39.421000000000923</v>
      </c>
      <c r="EM25" s="34">
        <v>2142.087</v>
      </c>
      <c r="EN25" s="34">
        <f t="shared" si="46"/>
        <v>2513.429000000001</v>
      </c>
      <c r="EO25" s="59"/>
      <c r="EP25" s="48">
        <f t="shared" si="47"/>
        <v>1.1487095915579866E-2</v>
      </c>
      <c r="EQ25" s="6">
        <f t="shared" si="47"/>
        <v>2.1373191763125188E-3</v>
      </c>
      <c r="ER25" s="6">
        <f t="shared" si="47"/>
        <v>2.5150501565789195E-2</v>
      </c>
      <c r="ES25" s="6">
        <f t="shared" si="47"/>
        <v>7.3743877388221402E-3</v>
      </c>
      <c r="ET25" s="6">
        <f t="shared" si="47"/>
        <v>8.5065462362374236E-2</v>
      </c>
      <c r="EU25" s="6">
        <f t="shared" si="47"/>
        <v>8.4426494641384297E-4</v>
      </c>
      <c r="EV25" s="6">
        <f t="shared" si="47"/>
        <v>1.5684151014411351E-2</v>
      </c>
      <c r="EW25" s="6">
        <f t="shared" si="47"/>
        <v>0.85225681728029679</v>
      </c>
      <c r="EX25" s="63">
        <f t="shared" si="48"/>
        <v>0.99999999999999989</v>
      </c>
      <c r="EY25" s="59"/>
      <c r="EZ25" s="35">
        <v>20.088999999999999</v>
      </c>
      <c r="FA25" s="36">
        <v>42.896000000000001</v>
      </c>
      <c r="FB25" s="71">
        <f t="shared" si="49"/>
        <v>62.984999999999999</v>
      </c>
      <c r="FD25" s="35">
        <f t="shared" si="50"/>
        <v>11.175000000000001</v>
      </c>
      <c r="FE25" s="36">
        <f t="shared" si="50"/>
        <v>7.1669999999999998</v>
      </c>
      <c r="FF25" s="71">
        <f t="shared" si="51"/>
        <v>18.341999999999999</v>
      </c>
      <c r="FH25" s="32">
        <f t="shared" si="52"/>
        <v>2206.4169999999999</v>
      </c>
      <c r="FI25" s="33">
        <f t="shared" si="53"/>
        <v>392.52400000000046</v>
      </c>
      <c r="FJ25" s="34">
        <f t="shared" si="54"/>
        <v>2598.9410000000003</v>
      </c>
      <c r="FL25" s="48">
        <v>0.84896771415742012</v>
      </c>
      <c r="FM25" s="6">
        <v>0.15103228584257988</v>
      </c>
      <c r="FN25" s="41">
        <f t="shared" si="55"/>
        <v>1</v>
      </c>
      <c r="FO25" s="59"/>
      <c r="FP25" s="65">
        <f t="shared" si="56"/>
        <v>444.49099999999999</v>
      </c>
      <c r="FQ25" s="33">
        <v>424.82100000000003</v>
      </c>
      <c r="FR25" s="34">
        <f t="shared" si="57"/>
        <v>464.161</v>
      </c>
      <c r="FT25" s="65">
        <f t="shared" si="58"/>
        <v>2508.8265000000001</v>
      </c>
      <c r="FU25" s="33">
        <v>2418.712</v>
      </c>
      <c r="FV25" s="34">
        <f t="shared" si="59"/>
        <v>2598.9410000000003</v>
      </c>
      <c r="FX25" s="65">
        <f t="shared" si="60"/>
        <v>1157.521</v>
      </c>
      <c r="FY25" s="33">
        <v>1108.6569999999999</v>
      </c>
      <c r="FZ25" s="34">
        <f t="shared" si="61"/>
        <v>1206.385</v>
      </c>
      <c r="GB25" s="65">
        <f t="shared" si="62"/>
        <v>3666.3474999999999</v>
      </c>
      <c r="GC25" s="59">
        <f t="shared" si="63"/>
        <v>3527.3689999999997</v>
      </c>
      <c r="GD25" s="73">
        <f t="shared" si="63"/>
        <v>3805.326</v>
      </c>
      <c r="GF25" s="65">
        <f t="shared" si="64"/>
        <v>2382.8204999999998</v>
      </c>
      <c r="GG25" s="33">
        <v>2281.9769999999999</v>
      </c>
      <c r="GH25" s="34">
        <f t="shared" si="65"/>
        <v>2483.6640000000002</v>
      </c>
      <c r="GI25" s="33"/>
      <c r="GJ25" s="65">
        <f t="shared" si="66"/>
        <v>3338.6444999999999</v>
      </c>
      <c r="GK25" s="33">
        <v>3232.9189999999999</v>
      </c>
      <c r="GL25" s="34">
        <f t="shared" si="67"/>
        <v>3444.37</v>
      </c>
      <c r="GM25" s="33"/>
      <c r="GN25" s="76">
        <f t="shared" si="68"/>
        <v>0.44619915978829222</v>
      </c>
      <c r="GO25" s="67"/>
    </row>
    <row r="26" spans="2:197" s="1" customFormat="1" x14ac:dyDescent="0.2">
      <c r="B26" s="77" t="s">
        <v>195</v>
      </c>
      <c r="C26" s="32">
        <v>7497.8890000000001</v>
      </c>
      <c r="D26" s="33">
        <v>7203.5174999999999</v>
      </c>
      <c r="E26" s="33">
        <v>6218.78</v>
      </c>
      <c r="F26" s="33">
        <v>2358.7199999999998</v>
      </c>
      <c r="G26" s="33">
        <v>4747.0640000000003</v>
      </c>
      <c r="H26" s="33">
        <v>9856.6090000000004</v>
      </c>
      <c r="I26" s="34">
        <v>8577.5</v>
      </c>
      <c r="J26" s="33"/>
      <c r="K26" s="35">
        <v>74.876999999999995</v>
      </c>
      <c r="L26" s="36">
        <v>13.086</v>
      </c>
      <c r="M26" s="36">
        <v>6.5000000000000002E-2</v>
      </c>
      <c r="N26" s="37">
        <f t="shared" si="0"/>
        <v>88.027999999999992</v>
      </c>
      <c r="O26" s="36">
        <v>50.126000000000005</v>
      </c>
      <c r="P26" s="37">
        <f t="shared" si="1"/>
        <v>37.901999999999987</v>
      </c>
      <c r="Q26" s="36">
        <v>1.948</v>
      </c>
      <c r="R26" s="37">
        <f t="shared" si="2"/>
        <v>35.953999999999986</v>
      </c>
      <c r="S26" s="36">
        <v>14.099</v>
      </c>
      <c r="T26" s="36">
        <v>0.80800000000000005</v>
      </c>
      <c r="U26" s="36">
        <v>-5.4</v>
      </c>
      <c r="V26" s="37">
        <f t="shared" si="3"/>
        <v>45.460999999999984</v>
      </c>
      <c r="W26" s="36">
        <v>10.07</v>
      </c>
      <c r="X26" s="38">
        <f t="shared" si="4"/>
        <v>35.390999999999984</v>
      </c>
      <c r="Y26" s="36"/>
      <c r="Z26" s="39">
        <f t="shared" si="5"/>
        <v>2.0789010368892698E-2</v>
      </c>
      <c r="AA26" s="40">
        <f t="shared" si="6"/>
        <v>3.6332250181942364E-3</v>
      </c>
      <c r="AB26" s="6">
        <f t="shared" si="7"/>
        <v>0.48696750376451164</v>
      </c>
      <c r="AC26" s="6">
        <f t="shared" si="8"/>
        <v>0.49082025321413542</v>
      </c>
      <c r="AD26" s="6">
        <f t="shared" si="9"/>
        <v>0.56943245331031045</v>
      </c>
      <c r="AE26" s="40">
        <f t="shared" si="10"/>
        <v>1.3917089810637651E-2</v>
      </c>
      <c r="AF26" s="40">
        <f t="shared" si="11"/>
        <v>9.8260329068402992E-3</v>
      </c>
      <c r="AG26" s="40">
        <f t="shared" si="12"/>
        <v>2.1075586805114083E-2</v>
      </c>
      <c r="AH26" s="40">
        <f t="shared" si="13"/>
        <v>3.1448127026398522E-2</v>
      </c>
      <c r="AI26" s="40">
        <f t="shared" si="14"/>
        <v>2.1410857223335647E-2</v>
      </c>
      <c r="AJ26" s="41">
        <f t="shared" si="15"/>
        <v>8.0470942943188725E-2</v>
      </c>
      <c r="AK26" s="42"/>
      <c r="AL26" s="48">
        <f t="shared" si="16"/>
        <v>0.14196909688148224</v>
      </c>
      <c r="AM26" s="6">
        <f t="shared" si="17"/>
        <v>0.11180730937316762</v>
      </c>
      <c r="AN26" s="41">
        <f t="shared" si="18"/>
        <v>4.6796486498227423E-2</v>
      </c>
      <c r="AO26" s="36"/>
      <c r="AP26" s="48">
        <f t="shared" si="19"/>
        <v>0.76334329241426779</v>
      </c>
      <c r="AQ26" s="6">
        <f t="shared" si="20"/>
        <v>0.72559281295258193</v>
      </c>
      <c r="AR26" s="6">
        <f t="shared" si="21"/>
        <v>0.11779862305243519</v>
      </c>
      <c r="AS26" s="6">
        <f t="shared" si="22"/>
        <v>0.39268866210209302</v>
      </c>
      <c r="AT26" s="6">
        <f t="shared" si="23"/>
        <v>0.12163690340041043</v>
      </c>
      <c r="AU26" s="69">
        <v>2.5495000000000001</v>
      </c>
      <c r="AV26" s="70">
        <v>1.3</v>
      </c>
      <c r="AW26" s="36"/>
      <c r="AX26" s="48">
        <f t="shared" si="24"/>
        <v>0.12296154290894411</v>
      </c>
      <c r="AY26" s="6">
        <v>8.1900000000000001E-2</v>
      </c>
      <c r="AZ26" s="6">
        <f t="shared" si="25"/>
        <v>0.17249999999999996</v>
      </c>
      <c r="BA26" s="6">
        <f t="shared" si="26"/>
        <v>0.17249999999999996</v>
      </c>
      <c r="BB26" s="41">
        <f t="shared" si="27"/>
        <v>0.18090000000000001</v>
      </c>
      <c r="BC26" s="6"/>
      <c r="BD26" s="48">
        <v>0.18109999999999998</v>
      </c>
      <c r="BE26" s="6">
        <v>0.18539999999999998</v>
      </c>
      <c r="BF26" s="41">
        <v>0.19649999999999998</v>
      </c>
      <c r="BG26" s="6"/>
      <c r="BH26" s="48"/>
      <c r="BI26" s="41">
        <v>2.1999999999999999E-2</v>
      </c>
      <c r="BJ26" s="48"/>
      <c r="BK26" s="41"/>
      <c r="BL26" s="63"/>
      <c r="BM26" s="6"/>
      <c r="BN26" s="48"/>
      <c r="BO26" s="41">
        <f t="shared" si="70"/>
        <v>3.4099999999999991E-2</v>
      </c>
      <c r="BP26" s="6"/>
      <c r="BQ26" s="48"/>
      <c r="BR26" s="41">
        <f t="shared" si="71"/>
        <v>2.3400000000000004E-2</v>
      </c>
      <c r="BS26" s="6"/>
      <c r="BT26" s="48"/>
      <c r="BU26" s="41">
        <f t="shared" si="69"/>
        <v>1.4499999999999985E-2</v>
      </c>
      <c r="BV26" s="36"/>
      <c r="BW26" s="39">
        <f t="shared" si="28"/>
        <v>6.6801298030150431E-4</v>
      </c>
      <c r="BX26" s="6">
        <f t="shared" si="29"/>
        <v>3.6887651726031555E-2</v>
      </c>
      <c r="BY26" s="40">
        <f t="shared" si="30"/>
        <v>3.5929876921196764E-3</v>
      </c>
      <c r="BZ26" s="6">
        <f t="shared" si="31"/>
        <v>2.3818940236249263E-2</v>
      </c>
      <c r="CA26" s="6">
        <f t="shared" si="32"/>
        <v>0.76772228636484974</v>
      </c>
      <c r="CB26" s="41">
        <f t="shared" si="33"/>
        <v>0.83159615272515297</v>
      </c>
      <c r="CC26" s="36"/>
      <c r="CD26" s="35">
        <v>83.100999999999999</v>
      </c>
      <c r="CE26" s="36">
        <v>118.02</v>
      </c>
      <c r="CF26" s="37">
        <f t="shared" si="34"/>
        <v>201.12099999999998</v>
      </c>
      <c r="CG26" s="33">
        <f t="shared" si="35"/>
        <v>6218.78</v>
      </c>
      <c r="CH26" s="36">
        <v>0.53800000000000003</v>
      </c>
      <c r="CI26" s="36">
        <v>15.587</v>
      </c>
      <c r="CJ26" s="37">
        <f t="shared" si="36"/>
        <v>6202.6549999999997</v>
      </c>
      <c r="CK26" s="36">
        <v>710.899</v>
      </c>
      <c r="CL26" s="36">
        <v>354.11</v>
      </c>
      <c r="CM26" s="37">
        <f t="shared" si="37"/>
        <v>1065.009</v>
      </c>
      <c r="CN26" s="36">
        <v>1.0229999999999999</v>
      </c>
      <c r="CO26" s="36">
        <v>0</v>
      </c>
      <c r="CP26" s="36">
        <v>17.824999999999999</v>
      </c>
      <c r="CQ26" s="36">
        <v>10.25600000000027</v>
      </c>
      <c r="CR26" s="37">
        <f t="shared" si="38"/>
        <v>7497.8890000000001</v>
      </c>
      <c r="CS26" s="36">
        <v>151.19900000000001</v>
      </c>
      <c r="CT26" s="33">
        <v>4747.0640000000003</v>
      </c>
      <c r="CU26" s="37">
        <f t="shared" si="39"/>
        <v>4898.2629999999999</v>
      </c>
      <c r="CV26" s="36">
        <v>1613.777</v>
      </c>
      <c r="CW26" s="36">
        <v>33.612000000000194</v>
      </c>
      <c r="CX26" s="37">
        <f t="shared" si="40"/>
        <v>1647.3890000000001</v>
      </c>
      <c r="CY26" s="36">
        <v>30.285</v>
      </c>
      <c r="CZ26" s="36">
        <v>921.952</v>
      </c>
      <c r="DA26" s="71">
        <f t="shared" si="41"/>
        <v>7497.8890000000001</v>
      </c>
      <c r="DB26" s="36"/>
      <c r="DC26" s="72">
        <v>912.02</v>
      </c>
      <c r="DD26" s="36"/>
      <c r="DE26" s="32">
        <v>400</v>
      </c>
      <c r="DF26" s="33">
        <v>300</v>
      </c>
      <c r="DG26" s="33">
        <v>415</v>
      </c>
      <c r="DH26" s="33">
        <v>525</v>
      </c>
      <c r="DI26" s="33">
        <v>150</v>
      </c>
      <c r="DJ26" s="33">
        <v>0</v>
      </c>
      <c r="DK26" s="34">
        <f t="shared" si="42"/>
        <v>1790</v>
      </c>
      <c r="DL26" s="63">
        <f t="shared" si="43"/>
        <v>0.23873386229110619</v>
      </c>
      <c r="DM26" s="63">
        <f t="shared" si="44"/>
        <v>0.39602613482274807</v>
      </c>
      <c r="DN26" s="36"/>
      <c r="DO26" s="65" t="s">
        <v>167</v>
      </c>
      <c r="DP26" s="59">
        <v>46</v>
      </c>
      <c r="DQ26" s="59">
        <v>14336</v>
      </c>
      <c r="DR26" s="73">
        <v>4</v>
      </c>
      <c r="DS26" s="59" t="s">
        <v>163</v>
      </c>
      <c r="DT26" s="75" t="s">
        <v>164</v>
      </c>
      <c r="DU26" s="59"/>
      <c r="DV26" s="63" t="s">
        <v>172</v>
      </c>
      <c r="DW26" s="64"/>
      <c r="DX26" s="32">
        <v>614.72703749999994</v>
      </c>
      <c r="DY26" s="33">
        <v>614.72703749999994</v>
      </c>
      <c r="DZ26" s="34">
        <v>644.66157150000004</v>
      </c>
      <c r="EA26" s="33"/>
      <c r="EB26" s="65">
        <f t="shared" si="45"/>
        <v>3358.4830000000002</v>
      </c>
      <c r="EC26" s="33">
        <v>3153.3310000000001</v>
      </c>
      <c r="ED26" s="34">
        <v>3563.6350000000002</v>
      </c>
      <c r="EE26" s="33"/>
      <c r="EF26" s="32">
        <v>54.384</v>
      </c>
      <c r="EG26" s="33">
        <v>31.292999999999999</v>
      </c>
      <c r="EH26" s="33">
        <v>185.54599999999999</v>
      </c>
      <c r="EI26" s="33">
        <v>10.734</v>
      </c>
      <c r="EJ26" s="33">
        <v>806.17200000000003</v>
      </c>
      <c r="EK26" s="33">
        <v>8.7129999999999992</v>
      </c>
      <c r="EL26" s="33">
        <v>72.065000000000509</v>
      </c>
      <c r="EM26" s="34">
        <v>4529.0450000000001</v>
      </c>
      <c r="EN26" s="34">
        <f t="shared" si="46"/>
        <v>5697.9520000000002</v>
      </c>
      <c r="EO26" s="59"/>
      <c r="EP26" s="48">
        <f t="shared" si="47"/>
        <v>9.5444819471978692E-3</v>
      </c>
      <c r="EQ26" s="6">
        <f t="shared" si="47"/>
        <v>5.4919732563559675E-3</v>
      </c>
      <c r="ER26" s="6">
        <f t="shared" si="47"/>
        <v>3.2563629879647983E-2</v>
      </c>
      <c r="ES26" s="6">
        <f t="shared" si="47"/>
        <v>1.8838347532587145E-3</v>
      </c>
      <c r="ET26" s="6">
        <f t="shared" si="47"/>
        <v>0.14148451935011036</v>
      </c>
      <c r="EU26" s="6">
        <f t="shared" si="47"/>
        <v>1.529145910671062E-3</v>
      </c>
      <c r="EV26" s="6">
        <f t="shared" si="47"/>
        <v>1.2647526690291618E-2</v>
      </c>
      <c r="EW26" s="6">
        <f t="shared" si="47"/>
        <v>0.79485488821246653</v>
      </c>
      <c r="EX26" s="63">
        <f t="shared" si="48"/>
        <v>1</v>
      </c>
      <c r="EY26" s="59"/>
      <c r="EZ26" s="35">
        <v>15.91</v>
      </c>
      <c r="FA26" s="36">
        <v>6.4340000000000011</v>
      </c>
      <c r="FB26" s="71">
        <f t="shared" si="49"/>
        <v>22.344000000000001</v>
      </c>
      <c r="FD26" s="35">
        <f t="shared" si="50"/>
        <v>0.53800000000000003</v>
      </c>
      <c r="FE26" s="36">
        <f t="shared" si="50"/>
        <v>15.587</v>
      </c>
      <c r="FF26" s="71">
        <f t="shared" si="51"/>
        <v>16.125</v>
      </c>
      <c r="FH26" s="32">
        <f t="shared" si="52"/>
        <v>4774.2960000000003</v>
      </c>
      <c r="FI26" s="33">
        <f t="shared" si="53"/>
        <v>1444.4839999999997</v>
      </c>
      <c r="FJ26" s="34">
        <f t="shared" si="54"/>
        <v>6218.78</v>
      </c>
      <c r="FL26" s="48">
        <v>0.76772228636484974</v>
      </c>
      <c r="FM26" s="6">
        <v>0.23227771363515026</v>
      </c>
      <c r="FN26" s="41">
        <f t="shared" si="55"/>
        <v>1</v>
      </c>
      <c r="FO26" s="59"/>
      <c r="FP26" s="65">
        <f t="shared" si="56"/>
        <v>879.59699999999998</v>
      </c>
      <c r="FQ26" s="33">
        <v>837.24199999999996</v>
      </c>
      <c r="FR26" s="34">
        <f t="shared" si="57"/>
        <v>921.952</v>
      </c>
      <c r="FT26" s="65">
        <f t="shared" si="58"/>
        <v>5832.2219999999998</v>
      </c>
      <c r="FU26" s="33">
        <v>5445.6639999999998</v>
      </c>
      <c r="FV26" s="34">
        <f t="shared" si="59"/>
        <v>6218.78</v>
      </c>
      <c r="FX26" s="65">
        <f t="shared" si="60"/>
        <v>2313.9859999999999</v>
      </c>
      <c r="FY26" s="33">
        <v>2269.252</v>
      </c>
      <c r="FZ26" s="34">
        <f t="shared" si="61"/>
        <v>2358.7199999999998</v>
      </c>
      <c r="GB26" s="65">
        <f t="shared" si="62"/>
        <v>8146.2079999999996</v>
      </c>
      <c r="GC26" s="59">
        <f t="shared" si="63"/>
        <v>7714.9159999999993</v>
      </c>
      <c r="GD26" s="73">
        <f t="shared" si="63"/>
        <v>8577.5</v>
      </c>
      <c r="GF26" s="65">
        <f t="shared" si="64"/>
        <v>4640.9565000000002</v>
      </c>
      <c r="GG26" s="33">
        <v>4534.8490000000002</v>
      </c>
      <c r="GH26" s="34">
        <f t="shared" si="65"/>
        <v>4747.0640000000003</v>
      </c>
      <c r="GI26" s="33"/>
      <c r="GJ26" s="65">
        <f t="shared" si="66"/>
        <v>7203.5174999999999</v>
      </c>
      <c r="GK26" s="33">
        <v>6909.1459999999997</v>
      </c>
      <c r="GL26" s="34">
        <f t="shared" si="67"/>
        <v>7497.8890000000001</v>
      </c>
      <c r="GM26" s="33"/>
      <c r="GN26" s="76">
        <f t="shared" si="68"/>
        <v>0.47528511024903147</v>
      </c>
      <c r="GO26" s="67"/>
    </row>
    <row r="27" spans="2:197" s="1" customFormat="1" x14ac:dyDescent="0.2">
      <c r="B27" s="77" t="s">
        <v>196</v>
      </c>
      <c r="C27" s="32">
        <v>5477.6710000000003</v>
      </c>
      <c r="D27" s="33">
        <v>5399.2579999999998</v>
      </c>
      <c r="E27" s="33">
        <v>4571.0079999999998</v>
      </c>
      <c r="F27" s="33">
        <v>1436.1769999999999</v>
      </c>
      <c r="G27" s="33">
        <v>4421.2470000000003</v>
      </c>
      <c r="H27" s="33">
        <v>6913.848</v>
      </c>
      <c r="I27" s="34">
        <v>6007.1849999999995</v>
      </c>
      <c r="J27" s="33"/>
      <c r="K27" s="35">
        <v>72.711999999999989</v>
      </c>
      <c r="L27" s="36">
        <v>16.123000000000001</v>
      </c>
      <c r="M27" s="36">
        <v>0.14600000000000002</v>
      </c>
      <c r="N27" s="37">
        <f t="shared" si="0"/>
        <v>88.980999999999995</v>
      </c>
      <c r="O27" s="36">
        <v>36.497</v>
      </c>
      <c r="P27" s="37">
        <f t="shared" si="1"/>
        <v>52.483999999999995</v>
      </c>
      <c r="Q27" s="36">
        <v>1.679</v>
      </c>
      <c r="R27" s="37">
        <f t="shared" si="2"/>
        <v>50.804999999999993</v>
      </c>
      <c r="S27" s="36">
        <v>8.7569999999999997</v>
      </c>
      <c r="T27" s="36">
        <v>0.63</v>
      </c>
      <c r="U27" s="36">
        <v>-4.633</v>
      </c>
      <c r="V27" s="37">
        <f t="shared" si="3"/>
        <v>55.55899999999999</v>
      </c>
      <c r="W27" s="36">
        <v>11.655000000000001</v>
      </c>
      <c r="X27" s="38">
        <f t="shared" si="4"/>
        <v>43.903999999999989</v>
      </c>
      <c r="Y27" s="36"/>
      <c r="Z27" s="39">
        <f t="shared" si="5"/>
        <v>2.6934071311280176E-2</v>
      </c>
      <c r="AA27" s="40">
        <f t="shared" si="6"/>
        <v>5.972302120032049E-3</v>
      </c>
      <c r="AB27" s="6">
        <f t="shared" si="7"/>
        <v>0.37102513012361743</v>
      </c>
      <c r="AC27" s="6">
        <f t="shared" si="8"/>
        <v>0.37341668542429762</v>
      </c>
      <c r="AD27" s="6">
        <f t="shared" si="9"/>
        <v>0.41016621525943742</v>
      </c>
      <c r="AE27" s="40">
        <f t="shared" si="10"/>
        <v>1.3519265054568609E-2</v>
      </c>
      <c r="AF27" s="40">
        <f t="shared" si="11"/>
        <v>1.6262975394026363E-2</v>
      </c>
      <c r="AG27" s="40">
        <f t="shared" si="12"/>
        <v>3.159144115442885E-2</v>
      </c>
      <c r="AH27" s="40">
        <f t="shared" si="13"/>
        <v>4.451972612212253E-2</v>
      </c>
      <c r="AI27" s="40">
        <f t="shared" si="14"/>
        <v>3.6557105681731913E-2</v>
      </c>
      <c r="AJ27" s="41">
        <f t="shared" si="15"/>
        <v>9.6895435294533053E-2</v>
      </c>
      <c r="AK27" s="42"/>
      <c r="AL27" s="48">
        <f t="shared" si="16"/>
        <v>8.9898983636999094E-2</v>
      </c>
      <c r="AM27" s="6">
        <f t="shared" si="17"/>
        <v>7.9499150821351672E-2</v>
      </c>
      <c r="AN27" s="41">
        <f t="shared" si="18"/>
        <v>2.946321650048165E-2</v>
      </c>
      <c r="AO27" s="36"/>
      <c r="AP27" s="48">
        <f t="shared" si="19"/>
        <v>0.96723676703256711</v>
      </c>
      <c r="AQ27" s="6">
        <f t="shared" si="20"/>
        <v>0.98874004075054167</v>
      </c>
      <c r="AR27" s="6">
        <f t="shared" si="21"/>
        <v>-0.10851600981512036</v>
      </c>
      <c r="AS27" s="6">
        <f t="shared" si="22"/>
        <v>0.14028562504027714</v>
      </c>
      <c r="AT27" s="6">
        <f t="shared" si="23"/>
        <v>0.11770787256116698</v>
      </c>
      <c r="AU27" s="69">
        <v>3.39</v>
      </c>
      <c r="AV27" s="70">
        <v>1.3</v>
      </c>
      <c r="AW27" s="36"/>
      <c r="AX27" s="48">
        <f t="shared" si="24"/>
        <v>0.17368020094671621</v>
      </c>
      <c r="AY27" s="6">
        <v>0.1419</v>
      </c>
      <c r="AZ27" s="6">
        <f t="shared" si="25"/>
        <v>0.27278245794847955</v>
      </c>
      <c r="BA27" s="6">
        <f t="shared" si="26"/>
        <v>0.27278245794847955</v>
      </c>
      <c r="BB27" s="41">
        <f t="shared" si="27"/>
        <v>0.27278245794847955</v>
      </c>
      <c r="BC27" s="6"/>
      <c r="BD27" s="48">
        <v>0.25259999999999999</v>
      </c>
      <c r="BE27" s="6">
        <v>0.25609999999999999</v>
      </c>
      <c r="BF27" s="41">
        <v>0.26</v>
      </c>
      <c r="BG27" s="6"/>
      <c r="BH27" s="48"/>
      <c r="BI27" s="41"/>
      <c r="BJ27" s="48"/>
      <c r="BK27" s="41"/>
      <c r="BL27" s="63"/>
      <c r="BM27" s="6"/>
      <c r="BN27" s="48"/>
      <c r="BO27" s="41"/>
      <c r="BP27" s="6"/>
      <c r="BQ27" s="48"/>
      <c r="BR27" s="41"/>
      <c r="BS27" s="6"/>
      <c r="BT27" s="48"/>
      <c r="BU27" s="41"/>
      <c r="BV27" s="36"/>
      <c r="BW27" s="39">
        <f t="shared" si="28"/>
        <v>7.6623089471261889E-4</v>
      </c>
      <c r="BX27" s="6">
        <f t="shared" si="29"/>
        <v>2.7137107853436992E-2</v>
      </c>
      <c r="BY27" s="40">
        <f t="shared" si="30"/>
        <v>6.7739982078351205E-3</v>
      </c>
      <c r="BZ27" s="6">
        <f t="shared" si="31"/>
        <v>3.1782103116317115E-2</v>
      </c>
      <c r="CA27" s="6">
        <f t="shared" si="32"/>
        <v>0.68069077980174186</v>
      </c>
      <c r="CB27" s="41">
        <f t="shared" si="33"/>
        <v>0.75703012309426132</v>
      </c>
      <c r="CC27" s="36"/>
      <c r="CD27" s="35">
        <v>64.289000000000001</v>
      </c>
      <c r="CE27" s="36">
        <v>154.08199999999999</v>
      </c>
      <c r="CF27" s="37">
        <f t="shared" si="34"/>
        <v>218.37099999999998</v>
      </c>
      <c r="CG27" s="33">
        <f t="shared" si="35"/>
        <v>4571.0079999999998</v>
      </c>
      <c r="CH27" s="36">
        <v>2.2789999999999999</v>
      </c>
      <c r="CI27" s="36">
        <v>20.616999999999997</v>
      </c>
      <c r="CJ27" s="37">
        <f t="shared" si="36"/>
        <v>4548.1119999999992</v>
      </c>
      <c r="CK27" s="36">
        <v>425.03199999999998</v>
      </c>
      <c r="CL27" s="36">
        <v>240.64599999999999</v>
      </c>
      <c r="CM27" s="37">
        <f t="shared" si="37"/>
        <v>665.678</v>
      </c>
      <c r="CN27" s="36">
        <v>5.6769999999999996</v>
      </c>
      <c r="CO27" s="36">
        <v>0</v>
      </c>
      <c r="CP27" s="36">
        <v>37.521999999999998</v>
      </c>
      <c r="CQ27" s="36">
        <v>2.311000000001016</v>
      </c>
      <c r="CR27" s="37">
        <f t="shared" si="38"/>
        <v>5477.6709999999994</v>
      </c>
      <c r="CS27" s="36">
        <v>0</v>
      </c>
      <c r="CT27" s="33">
        <v>4421.2470000000003</v>
      </c>
      <c r="CU27" s="37">
        <f t="shared" si="39"/>
        <v>4421.2470000000003</v>
      </c>
      <c r="CV27" s="36">
        <v>50.35</v>
      </c>
      <c r="CW27" s="36">
        <v>54.710999999999899</v>
      </c>
      <c r="CX27" s="37">
        <f t="shared" si="40"/>
        <v>105.06099999999989</v>
      </c>
      <c r="CY27" s="36">
        <v>0</v>
      </c>
      <c r="CZ27" s="36">
        <v>951.36300000000006</v>
      </c>
      <c r="DA27" s="71">
        <f t="shared" si="41"/>
        <v>5477.6710000000003</v>
      </c>
      <c r="DB27" s="36"/>
      <c r="DC27" s="72">
        <v>644.7650000000001</v>
      </c>
      <c r="DD27" s="36"/>
      <c r="DE27" s="32">
        <v>0</v>
      </c>
      <c r="DF27" s="33">
        <v>50</v>
      </c>
      <c r="DG27" s="33">
        <v>0</v>
      </c>
      <c r="DH27" s="33">
        <v>0</v>
      </c>
      <c r="DI27" s="33">
        <v>0</v>
      </c>
      <c r="DJ27" s="33">
        <v>0</v>
      </c>
      <c r="DK27" s="34">
        <f t="shared" si="42"/>
        <v>50</v>
      </c>
      <c r="DL27" s="63">
        <f t="shared" si="43"/>
        <v>9.1279669772061887E-3</v>
      </c>
      <c r="DM27" s="63">
        <f t="shared" si="44"/>
        <v>0.1402217292714367</v>
      </c>
      <c r="DN27" s="36"/>
      <c r="DO27" s="65" t="s">
        <v>162</v>
      </c>
      <c r="DP27" s="59">
        <v>29</v>
      </c>
      <c r="DQ27" s="59">
        <v>14876</v>
      </c>
      <c r="DR27" s="73">
        <v>5</v>
      </c>
      <c r="DS27" s="59" t="s">
        <v>163</v>
      </c>
      <c r="DT27" s="65"/>
      <c r="DU27" s="59"/>
      <c r="DV27" s="63" t="s">
        <v>172</v>
      </c>
      <c r="DW27" s="64"/>
      <c r="DX27" s="32">
        <v>779.202</v>
      </c>
      <c r="DY27" s="33">
        <v>779.202</v>
      </c>
      <c r="DZ27" s="34">
        <v>779.202</v>
      </c>
      <c r="EA27" s="33"/>
      <c r="EB27" s="65">
        <f t="shared" si="45"/>
        <v>2779.4870000000001</v>
      </c>
      <c r="EC27" s="33">
        <v>2702.4780000000001</v>
      </c>
      <c r="ED27" s="34">
        <v>2856.4960000000001</v>
      </c>
      <c r="EE27" s="33"/>
      <c r="EF27" s="32">
        <v>828.87699999999995</v>
      </c>
      <c r="EG27" s="33">
        <v>46.16</v>
      </c>
      <c r="EH27" s="33">
        <v>123.462</v>
      </c>
      <c r="EI27" s="33">
        <v>67.58</v>
      </c>
      <c r="EJ27" s="33">
        <v>232.084</v>
      </c>
      <c r="EK27" s="33">
        <v>43.151000000000003</v>
      </c>
      <c r="EL27" s="33">
        <v>78.193000000000666</v>
      </c>
      <c r="EM27" s="34">
        <v>2930.02</v>
      </c>
      <c r="EN27" s="34">
        <f t="shared" si="46"/>
        <v>4349.527000000001</v>
      </c>
      <c r="EO27" s="59"/>
      <c r="EP27" s="48">
        <f t="shared" si="47"/>
        <v>0.19056715822203191</v>
      </c>
      <c r="EQ27" s="6">
        <f t="shared" si="47"/>
        <v>1.0612648225887547E-2</v>
      </c>
      <c r="ER27" s="6">
        <f t="shared" si="47"/>
        <v>2.8385155443339007E-2</v>
      </c>
      <c r="ES27" s="6">
        <f t="shared" si="47"/>
        <v>1.553732164439949E-2</v>
      </c>
      <c r="ET27" s="6">
        <f t="shared" si="47"/>
        <v>5.3358445642480191E-2</v>
      </c>
      <c r="EU27" s="6">
        <f t="shared" si="47"/>
        <v>9.9208488647156336E-3</v>
      </c>
      <c r="EV27" s="6">
        <f t="shared" si="47"/>
        <v>1.797735707813761E-2</v>
      </c>
      <c r="EW27" s="6">
        <f t="shared" si="47"/>
        <v>0.67364106487900854</v>
      </c>
      <c r="EX27" s="63">
        <f t="shared" si="48"/>
        <v>1</v>
      </c>
      <c r="EY27" s="59"/>
      <c r="EZ27" s="35">
        <v>15.761000000000001</v>
      </c>
      <c r="FA27" s="36">
        <v>15.202999999999999</v>
      </c>
      <c r="FB27" s="71">
        <f t="shared" si="49"/>
        <v>30.963999999999999</v>
      </c>
      <c r="FD27" s="35">
        <f t="shared" si="50"/>
        <v>2.2789999999999999</v>
      </c>
      <c r="FE27" s="36">
        <f t="shared" si="50"/>
        <v>20.616999999999997</v>
      </c>
      <c r="FF27" s="71">
        <f t="shared" si="51"/>
        <v>22.895999999999997</v>
      </c>
      <c r="FH27" s="32">
        <f t="shared" si="52"/>
        <v>3111.4430000000002</v>
      </c>
      <c r="FI27" s="33">
        <f t="shared" si="53"/>
        <v>1459.5649999999994</v>
      </c>
      <c r="FJ27" s="34">
        <f t="shared" si="54"/>
        <v>4571.0079999999998</v>
      </c>
      <c r="FL27" s="48">
        <v>0.68069077980174186</v>
      </c>
      <c r="FM27" s="6">
        <v>0.31930922019825814</v>
      </c>
      <c r="FN27" s="41">
        <f t="shared" si="55"/>
        <v>1</v>
      </c>
      <c r="FO27" s="59"/>
      <c r="FP27" s="65">
        <f t="shared" si="56"/>
        <v>906.21400000000006</v>
      </c>
      <c r="FQ27" s="33">
        <v>861.06500000000005</v>
      </c>
      <c r="FR27" s="34">
        <f t="shared" si="57"/>
        <v>951.36300000000006</v>
      </c>
      <c r="FT27" s="65">
        <f t="shared" si="58"/>
        <v>4382.491</v>
      </c>
      <c r="FU27" s="33">
        <v>4193.9740000000002</v>
      </c>
      <c r="FV27" s="34">
        <f t="shared" si="59"/>
        <v>4571.0079999999998</v>
      </c>
      <c r="FX27" s="65">
        <f t="shared" si="60"/>
        <v>1403.4960000000001</v>
      </c>
      <c r="FY27" s="33">
        <v>1370.8150000000001</v>
      </c>
      <c r="FZ27" s="34">
        <f t="shared" si="61"/>
        <v>1436.1769999999999</v>
      </c>
      <c r="GB27" s="65">
        <f t="shared" si="62"/>
        <v>5785.9870000000001</v>
      </c>
      <c r="GC27" s="59">
        <f t="shared" si="63"/>
        <v>5564.7890000000007</v>
      </c>
      <c r="GD27" s="73">
        <f t="shared" si="63"/>
        <v>6007.1849999999995</v>
      </c>
      <c r="GF27" s="65">
        <f t="shared" si="64"/>
        <v>4357.9790000000003</v>
      </c>
      <c r="GG27" s="33">
        <v>4294.7110000000002</v>
      </c>
      <c r="GH27" s="34">
        <f t="shared" si="65"/>
        <v>4421.2470000000003</v>
      </c>
      <c r="GI27" s="33"/>
      <c r="GJ27" s="65">
        <f t="shared" si="66"/>
        <v>5399.2579999999998</v>
      </c>
      <c r="GK27" s="33">
        <v>5320.8450000000003</v>
      </c>
      <c r="GL27" s="34">
        <f t="shared" si="67"/>
        <v>5477.6710000000003</v>
      </c>
      <c r="GM27" s="33"/>
      <c r="GN27" s="76">
        <f t="shared" si="68"/>
        <v>0.52148002317043141</v>
      </c>
      <c r="GO27" s="67"/>
    </row>
    <row r="28" spans="2:197" s="1" customFormat="1" x14ac:dyDescent="0.2">
      <c r="B28" s="77" t="s">
        <v>197</v>
      </c>
      <c r="C28" s="32">
        <v>11281.928</v>
      </c>
      <c r="D28" s="33">
        <v>11017.325000000001</v>
      </c>
      <c r="E28" s="33">
        <v>9575.8410000000003</v>
      </c>
      <c r="F28" s="33">
        <v>2309.5479999999998</v>
      </c>
      <c r="G28" s="33">
        <v>7565.8779999999997</v>
      </c>
      <c r="H28" s="33">
        <v>13591.475999999999</v>
      </c>
      <c r="I28" s="34">
        <v>11885.388999999999</v>
      </c>
      <c r="J28" s="33"/>
      <c r="K28" s="35">
        <v>118.19499999999999</v>
      </c>
      <c r="L28" s="36">
        <v>21.96</v>
      </c>
      <c r="M28" s="36">
        <v>1.5149999999999968</v>
      </c>
      <c r="N28" s="37">
        <f t="shared" si="0"/>
        <v>141.66999999999999</v>
      </c>
      <c r="O28" s="36">
        <v>62.475999999999999</v>
      </c>
      <c r="P28" s="37">
        <f t="shared" si="1"/>
        <v>79.193999999999988</v>
      </c>
      <c r="Q28" s="36">
        <v>9.8949999999999996</v>
      </c>
      <c r="R28" s="37">
        <f t="shared" si="2"/>
        <v>69.298999999999992</v>
      </c>
      <c r="S28" s="36">
        <v>16.023</v>
      </c>
      <c r="T28" s="36">
        <v>3.1830000000000003</v>
      </c>
      <c r="U28" s="36">
        <v>22.1</v>
      </c>
      <c r="V28" s="37">
        <f t="shared" si="3"/>
        <v>110.60499999999999</v>
      </c>
      <c r="W28" s="36">
        <v>23.625</v>
      </c>
      <c r="X28" s="38">
        <f t="shared" si="4"/>
        <v>86.97999999999999</v>
      </c>
      <c r="Y28" s="36"/>
      <c r="Z28" s="39">
        <f t="shared" si="5"/>
        <v>2.1456206474802182E-2</v>
      </c>
      <c r="AA28" s="40">
        <f t="shared" si="6"/>
        <v>3.9864486161568253E-3</v>
      </c>
      <c r="AB28" s="6">
        <f t="shared" si="7"/>
        <v>0.38834879037270947</v>
      </c>
      <c r="AC28" s="6">
        <f t="shared" si="8"/>
        <v>0.39618752893279985</v>
      </c>
      <c r="AD28" s="6">
        <f t="shared" si="9"/>
        <v>0.44099668243100165</v>
      </c>
      <c r="AE28" s="40">
        <f t="shared" si="10"/>
        <v>1.1341410006512469E-2</v>
      </c>
      <c r="AF28" s="40">
        <f t="shared" si="11"/>
        <v>1.5789676713721341E-2</v>
      </c>
      <c r="AG28" s="40">
        <f t="shared" si="12"/>
        <v>3.0767505651291813E-2</v>
      </c>
      <c r="AH28" s="40">
        <f t="shared" si="13"/>
        <v>3.480711147490359E-2</v>
      </c>
      <c r="AI28" s="40">
        <f t="shared" si="14"/>
        <v>2.4513191240846992E-2</v>
      </c>
      <c r="AJ28" s="41">
        <f t="shared" si="15"/>
        <v>0.14451469695194943</v>
      </c>
      <c r="AK28" s="42"/>
      <c r="AL28" s="48">
        <f t="shared" si="16"/>
        <v>6.3429586266160826E-2</v>
      </c>
      <c r="AM28" s="6">
        <f t="shared" si="17"/>
        <v>6.5842615396218149E-2</v>
      </c>
      <c r="AN28" s="41">
        <f t="shared" si="18"/>
        <v>9.4421959845378114E-2</v>
      </c>
      <c r="AO28" s="36"/>
      <c r="AP28" s="48">
        <f t="shared" si="19"/>
        <v>0.7901006292815429</v>
      </c>
      <c r="AQ28" s="6">
        <f t="shared" si="20"/>
        <v>0.75912426189627402</v>
      </c>
      <c r="AR28" s="6">
        <f t="shared" si="21"/>
        <v>0.13105313205331567</v>
      </c>
      <c r="AS28" s="6">
        <f t="shared" si="22"/>
        <v>0.30274825366728098</v>
      </c>
      <c r="AT28" s="6">
        <f t="shared" si="23"/>
        <v>8.1739309096813956E-2</v>
      </c>
      <c r="AU28" s="69">
        <v>3.68</v>
      </c>
      <c r="AV28" s="70">
        <v>1.1000000000000001</v>
      </c>
      <c r="AW28" s="36"/>
      <c r="AX28" s="48">
        <f t="shared" si="24"/>
        <v>0.11286953790167779</v>
      </c>
      <c r="AY28" s="6">
        <v>8.6199999999999999E-2</v>
      </c>
      <c r="AZ28" s="6">
        <f t="shared" si="25"/>
        <v>0.16404134578903254</v>
      </c>
      <c r="BA28" s="6">
        <f t="shared" si="26"/>
        <v>0.17402134088885496</v>
      </c>
      <c r="BB28" s="41">
        <f t="shared" si="27"/>
        <v>0.18732800102195149</v>
      </c>
      <c r="BC28" s="6"/>
      <c r="BD28" s="48">
        <v>0.16589999999999999</v>
      </c>
      <c r="BE28" s="6">
        <v>0.1772</v>
      </c>
      <c r="BF28" s="41">
        <v>0.19159999999999999</v>
      </c>
      <c r="BG28" s="6"/>
      <c r="BH28" s="48"/>
      <c r="BI28" s="41">
        <v>2.3E-2</v>
      </c>
      <c r="BJ28" s="48"/>
      <c r="BK28" s="41"/>
      <c r="BL28" s="63"/>
      <c r="BM28" s="6"/>
      <c r="BN28" s="48"/>
      <c r="BO28" s="41">
        <f>BD28-(4.5%+2.5%+3%+2.5%+BI28)</f>
        <v>1.7899999999999999E-2</v>
      </c>
      <c r="BP28" s="6"/>
      <c r="BQ28" s="48"/>
      <c r="BR28" s="41">
        <f>BE28-(6%+2.5%+3%+2.5%+BI28)</f>
        <v>1.4200000000000018E-2</v>
      </c>
      <c r="BS28" s="6"/>
      <c r="BT28" s="48"/>
      <c r="BU28" s="41">
        <f>BF28-(8%+2.5%+3%+2.5%+BI28)</f>
        <v>8.5999999999999965E-3</v>
      </c>
      <c r="BV28" s="36"/>
      <c r="BW28" s="39">
        <f t="shared" si="28"/>
        <v>2.1301880749402102E-3</v>
      </c>
      <c r="BX28" s="6">
        <f t="shared" si="29"/>
        <v>0.1005589430894309</v>
      </c>
      <c r="BY28" s="40">
        <f t="shared" si="30"/>
        <v>1.5576699738435508E-2</v>
      </c>
      <c r="BZ28" s="6">
        <f t="shared" si="31"/>
        <v>0.114236173869356</v>
      </c>
      <c r="CA28" s="6">
        <f t="shared" si="32"/>
        <v>0.69585825412096958</v>
      </c>
      <c r="CB28" s="41">
        <f t="shared" si="33"/>
        <v>0.75495854616117308</v>
      </c>
      <c r="CC28" s="36"/>
      <c r="CD28" s="35">
        <v>6.89</v>
      </c>
      <c r="CE28" s="36">
        <v>352.07100000000003</v>
      </c>
      <c r="CF28" s="37">
        <f t="shared" si="34"/>
        <v>358.96100000000001</v>
      </c>
      <c r="CG28" s="33">
        <f t="shared" si="35"/>
        <v>9575.8410000000003</v>
      </c>
      <c r="CH28" s="36">
        <v>14.661</v>
      </c>
      <c r="CI28" s="36">
        <v>17.669</v>
      </c>
      <c r="CJ28" s="37">
        <f t="shared" si="36"/>
        <v>9543.5110000000004</v>
      </c>
      <c r="CK28" s="36">
        <v>563.21600000000001</v>
      </c>
      <c r="CL28" s="36">
        <v>540.88199999999995</v>
      </c>
      <c r="CM28" s="37">
        <f t="shared" si="37"/>
        <v>1104.098</v>
      </c>
      <c r="CN28" s="36">
        <v>45.582999999999998</v>
      </c>
      <c r="CO28" s="36">
        <v>6.0119999999999996</v>
      </c>
      <c r="CP28" s="36">
        <v>213.99299999999999</v>
      </c>
      <c r="CQ28" s="36">
        <v>9.7700000000001808</v>
      </c>
      <c r="CR28" s="37">
        <f t="shared" si="38"/>
        <v>11281.928000000002</v>
      </c>
      <c r="CS28" s="36">
        <v>0</v>
      </c>
      <c r="CT28" s="33">
        <v>7565.8779999999997</v>
      </c>
      <c r="CU28" s="37">
        <f t="shared" si="39"/>
        <v>7565.8779999999997</v>
      </c>
      <c r="CV28" s="36">
        <v>2260.81</v>
      </c>
      <c r="CW28" s="36">
        <v>41.955000000000382</v>
      </c>
      <c r="CX28" s="37">
        <f t="shared" si="40"/>
        <v>2302.7650000000003</v>
      </c>
      <c r="CY28" s="36">
        <v>139.899</v>
      </c>
      <c r="CZ28" s="36">
        <v>1273.386</v>
      </c>
      <c r="DA28" s="71">
        <f t="shared" si="41"/>
        <v>11281.928</v>
      </c>
      <c r="DB28" s="36"/>
      <c r="DC28" s="72">
        <v>922.17700000000002</v>
      </c>
      <c r="DD28" s="36"/>
      <c r="DE28" s="32">
        <v>780</v>
      </c>
      <c r="DF28" s="33">
        <v>810</v>
      </c>
      <c r="DG28" s="33">
        <v>400</v>
      </c>
      <c r="DH28" s="33">
        <v>400</v>
      </c>
      <c r="DI28" s="33">
        <v>0</v>
      </c>
      <c r="DJ28" s="33">
        <v>0</v>
      </c>
      <c r="DK28" s="34">
        <f t="shared" si="42"/>
        <v>2390</v>
      </c>
      <c r="DL28" s="63">
        <f t="shared" si="43"/>
        <v>0.21184322395959274</v>
      </c>
      <c r="DM28" s="63">
        <f t="shared" si="44"/>
        <v>0.31419931061428508</v>
      </c>
      <c r="DN28" s="36"/>
      <c r="DO28" s="65" t="s">
        <v>193</v>
      </c>
      <c r="DP28" s="59">
        <v>59.2</v>
      </c>
      <c r="DQ28" s="59">
        <v>17659</v>
      </c>
      <c r="DR28" s="73">
        <v>6</v>
      </c>
      <c r="DS28" s="59" t="s">
        <v>163</v>
      </c>
      <c r="DT28" s="75" t="s">
        <v>164</v>
      </c>
      <c r="DU28" s="62" t="s">
        <v>170</v>
      </c>
      <c r="DV28" s="63">
        <v>0.36294008548699114</v>
      </c>
      <c r="DW28" s="64"/>
      <c r="DX28" s="32">
        <v>986.221</v>
      </c>
      <c r="DY28" s="33">
        <v>1046.221</v>
      </c>
      <c r="DZ28" s="34">
        <v>1126.221</v>
      </c>
      <c r="EA28" s="33"/>
      <c r="EB28" s="65">
        <f t="shared" si="45"/>
        <v>5654.0169999999998</v>
      </c>
      <c r="EC28" s="33">
        <v>5296.0069999999996</v>
      </c>
      <c r="ED28" s="34">
        <v>6012.027</v>
      </c>
      <c r="EE28" s="33"/>
      <c r="EF28" s="32">
        <v>137.19399999999999</v>
      </c>
      <c r="EG28" s="33">
        <v>19.466999999999999</v>
      </c>
      <c r="EH28" s="33">
        <v>810.63300000000004</v>
      </c>
      <c r="EI28" s="33">
        <v>85.658000000000001</v>
      </c>
      <c r="EJ28" s="33">
        <v>1277.94</v>
      </c>
      <c r="EK28" s="33">
        <v>41.405000000000001</v>
      </c>
      <c r="EL28" s="33">
        <v>271.57699999999932</v>
      </c>
      <c r="EM28" s="34">
        <v>6350.799</v>
      </c>
      <c r="EN28" s="34">
        <f t="shared" si="46"/>
        <v>8994.6729999999989</v>
      </c>
      <c r="EO28" s="59"/>
      <c r="EP28" s="48">
        <f t="shared" si="47"/>
        <v>1.5252805744022045E-2</v>
      </c>
      <c r="EQ28" s="6">
        <f t="shared" si="47"/>
        <v>2.1642810138845516E-3</v>
      </c>
      <c r="ER28" s="6">
        <f t="shared" si="47"/>
        <v>9.0123676536100886E-2</v>
      </c>
      <c r="ES28" s="6">
        <f t="shared" si="47"/>
        <v>9.5231922272216024E-3</v>
      </c>
      <c r="ET28" s="6">
        <f t="shared" si="47"/>
        <v>0.14207742738396384</v>
      </c>
      <c r="EU28" s="6">
        <f t="shared" si="47"/>
        <v>4.6032801859500622E-3</v>
      </c>
      <c r="EV28" s="6">
        <f t="shared" si="47"/>
        <v>3.0193093178595747E-2</v>
      </c>
      <c r="EW28" s="6">
        <f t="shared" si="47"/>
        <v>0.70606224373026127</v>
      </c>
      <c r="EX28" s="63">
        <f t="shared" si="48"/>
        <v>1</v>
      </c>
      <c r="EY28" s="59"/>
      <c r="EZ28" s="35">
        <v>94.77600000000001</v>
      </c>
      <c r="FA28" s="36">
        <v>54.384</v>
      </c>
      <c r="FB28" s="71">
        <f t="shared" si="49"/>
        <v>149.16000000000003</v>
      </c>
      <c r="FD28" s="35">
        <f t="shared" si="50"/>
        <v>14.661</v>
      </c>
      <c r="FE28" s="36">
        <f t="shared" si="50"/>
        <v>17.669</v>
      </c>
      <c r="FF28" s="71">
        <f t="shared" si="51"/>
        <v>32.33</v>
      </c>
      <c r="FH28" s="32">
        <f t="shared" si="52"/>
        <v>6663.4279999999999</v>
      </c>
      <c r="FI28" s="33">
        <f t="shared" si="53"/>
        <v>2912.4130000000005</v>
      </c>
      <c r="FJ28" s="34">
        <f t="shared" si="54"/>
        <v>9575.8410000000003</v>
      </c>
      <c r="FL28" s="48">
        <v>0.69585825412096958</v>
      </c>
      <c r="FM28" s="6">
        <v>0.30414174587903042</v>
      </c>
      <c r="FN28" s="41">
        <f t="shared" si="55"/>
        <v>1</v>
      </c>
      <c r="FO28" s="59"/>
      <c r="FP28" s="65">
        <f t="shared" si="56"/>
        <v>1203.7529999999999</v>
      </c>
      <c r="FQ28" s="33">
        <v>1134.1199999999999</v>
      </c>
      <c r="FR28" s="34">
        <f t="shared" si="57"/>
        <v>1273.386</v>
      </c>
      <c r="FT28" s="65">
        <f t="shared" si="58"/>
        <v>9290.2595000000001</v>
      </c>
      <c r="FU28" s="33">
        <v>9004.6779999999999</v>
      </c>
      <c r="FV28" s="34">
        <f t="shared" si="59"/>
        <v>9575.8410000000003</v>
      </c>
      <c r="FX28" s="65">
        <f t="shared" si="60"/>
        <v>2228.0185000000001</v>
      </c>
      <c r="FY28" s="33">
        <v>2146.489</v>
      </c>
      <c r="FZ28" s="34">
        <f t="shared" si="61"/>
        <v>2309.5479999999998</v>
      </c>
      <c r="GB28" s="65">
        <f t="shared" si="62"/>
        <v>11518.277999999998</v>
      </c>
      <c r="GC28" s="59">
        <f t="shared" si="63"/>
        <v>11151.166999999999</v>
      </c>
      <c r="GD28" s="73">
        <f t="shared" si="63"/>
        <v>11885.388999999999</v>
      </c>
      <c r="GF28" s="65">
        <f t="shared" si="64"/>
        <v>7239.5025000000005</v>
      </c>
      <c r="GG28" s="33">
        <v>6913.1270000000004</v>
      </c>
      <c r="GH28" s="34">
        <f t="shared" si="65"/>
        <v>7565.8779999999997</v>
      </c>
      <c r="GI28" s="33"/>
      <c r="GJ28" s="65">
        <f t="shared" si="66"/>
        <v>11017.325000000001</v>
      </c>
      <c r="GK28" s="33">
        <v>10752.722</v>
      </c>
      <c r="GL28" s="34">
        <f t="shared" si="67"/>
        <v>11281.928</v>
      </c>
      <c r="GM28" s="33"/>
      <c r="GN28" s="76">
        <f t="shared" si="68"/>
        <v>0.5328900343983759</v>
      </c>
      <c r="GO28" s="67"/>
    </row>
    <row r="29" spans="2:197" s="1" customFormat="1" x14ac:dyDescent="0.2">
      <c r="B29" s="77" t="s">
        <v>198</v>
      </c>
      <c r="C29" s="32">
        <v>6975.6229999999996</v>
      </c>
      <c r="D29" s="33">
        <v>6871.2075000000004</v>
      </c>
      <c r="E29" s="33">
        <v>5520.7929999999997</v>
      </c>
      <c r="F29" s="33">
        <v>3587.4479999999999</v>
      </c>
      <c r="G29" s="33">
        <v>4976.576</v>
      </c>
      <c r="H29" s="33">
        <v>10563.071</v>
      </c>
      <c r="I29" s="34">
        <v>9108.241</v>
      </c>
      <c r="J29" s="33"/>
      <c r="K29" s="35">
        <v>98.555999999999997</v>
      </c>
      <c r="L29" s="36">
        <v>24.44</v>
      </c>
      <c r="M29" s="36">
        <v>0.20499999999999999</v>
      </c>
      <c r="N29" s="37">
        <f t="shared" si="0"/>
        <v>123.20099999999999</v>
      </c>
      <c r="O29" s="36">
        <v>53.016999999999996</v>
      </c>
      <c r="P29" s="37">
        <f t="shared" si="1"/>
        <v>70.183999999999997</v>
      </c>
      <c r="Q29" s="36">
        <v>8.3290000000000006</v>
      </c>
      <c r="R29" s="37">
        <f t="shared" si="2"/>
        <v>61.854999999999997</v>
      </c>
      <c r="S29" s="36">
        <v>11.058999999999999</v>
      </c>
      <c r="T29" s="36">
        <v>-1.417</v>
      </c>
      <c r="U29" s="36">
        <v>-5</v>
      </c>
      <c r="V29" s="37">
        <f t="shared" si="3"/>
        <v>66.497</v>
      </c>
      <c r="W29" s="36">
        <v>13.86</v>
      </c>
      <c r="X29" s="38">
        <f t="shared" si="4"/>
        <v>52.637</v>
      </c>
      <c r="Y29" s="36"/>
      <c r="Z29" s="39">
        <f t="shared" si="5"/>
        <v>2.8686660968978157E-2</v>
      </c>
      <c r="AA29" s="40">
        <f t="shared" si="6"/>
        <v>7.1137423807969705E-3</v>
      </c>
      <c r="AB29" s="6">
        <f t="shared" si="7"/>
        <v>0.39909517249685722</v>
      </c>
      <c r="AC29" s="6">
        <f t="shared" si="8"/>
        <v>0.39488306271413676</v>
      </c>
      <c r="AD29" s="6">
        <f t="shared" si="9"/>
        <v>0.43032929927516822</v>
      </c>
      <c r="AE29" s="40">
        <f t="shared" si="10"/>
        <v>1.543163992646125E-2</v>
      </c>
      <c r="AF29" s="40">
        <f t="shared" si="11"/>
        <v>1.532103345736539E-2</v>
      </c>
      <c r="AG29" s="40">
        <f t="shared" si="12"/>
        <v>2.9471340301541357E-2</v>
      </c>
      <c r="AH29" s="40">
        <f t="shared" si="13"/>
        <v>4.4694401483953115E-2</v>
      </c>
      <c r="AI29" s="40">
        <f t="shared" si="14"/>
        <v>3.4632478187431662E-2</v>
      </c>
      <c r="AJ29" s="41">
        <f t="shared" si="15"/>
        <v>0.10400282546574492</v>
      </c>
      <c r="AK29" s="42"/>
      <c r="AL29" s="48">
        <f t="shared" si="16"/>
        <v>6.8076415307515278E-2</v>
      </c>
      <c r="AM29" s="6">
        <f t="shared" si="17"/>
        <v>8.2768108781792207E-2</v>
      </c>
      <c r="AN29" s="41">
        <f t="shared" si="18"/>
        <v>3.903878322931631E-2</v>
      </c>
      <c r="AO29" s="36"/>
      <c r="AP29" s="48">
        <f t="shared" si="19"/>
        <v>0.90142412512115566</v>
      </c>
      <c r="AQ29" s="6">
        <f t="shared" si="20"/>
        <v>0.84979524285860164</v>
      </c>
      <c r="AR29" s="6">
        <f t="shared" si="21"/>
        <v>-1.5405649072491458E-2</v>
      </c>
      <c r="AS29" s="6">
        <f t="shared" si="22"/>
        <v>0.37604583848639755</v>
      </c>
      <c r="AT29" s="6">
        <f t="shared" si="23"/>
        <v>0.141506213853587</v>
      </c>
      <c r="AU29" s="69">
        <v>2.41</v>
      </c>
      <c r="AV29" s="70">
        <v>1.23</v>
      </c>
      <c r="AW29" s="36"/>
      <c r="AX29" s="48">
        <f t="shared" si="24"/>
        <v>0.15237807433113862</v>
      </c>
      <c r="AY29" s="6">
        <v>0.1026</v>
      </c>
      <c r="AZ29" s="6">
        <f t="shared" si="25"/>
        <v>0.19716245127697551</v>
      </c>
      <c r="BA29" s="6">
        <f t="shared" si="26"/>
        <v>0.19716245127697551</v>
      </c>
      <c r="BB29" s="41">
        <f t="shared" si="27"/>
        <v>0.21071356363358443</v>
      </c>
      <c r="BC29" s="6"/>
      <c r="BD29" s="48">
        <v>0.19059999999999999</v>
      </c>
      <c r="BE29" s="6">
        <v>0.1961</v>
      </c>
      <c r="BF29" s="41">
        <v>0.2117</v>
      </c>
      <c r="BG29" s="6"/>
      <c r="BH29" s="48"/>
      <c r="BI29" s="41">
        <v>2.9000000000000001E-2</v>
      </c>
      <c r="BJ29" s="48"/>
      <c r="BK29" s="41"/>
      <c r="BL29" s="63"/>
      <c r="BM29" s="6"/>
      <c r="BN29" s="48"/>
      <c r="BO29" s="41">
        <f>BD29-(4.5%+2.5%+3%+2.5%+BI29)</f>
        <v>3.6599999999999994E-2</v>
      </c>
      <c r="BP29" s="6"/>
      <c r="BQ29" s="48"/>
      <c r="BR29" s="41">
        <f>BE29-(6%+2.5%+3%+2.5%+BI29)</f>
        <v>2.7100000000000013E-2</v>
      </c>
      <c r="BS29" s="6"/>
      <c r="BT29" s="48"/>
      <c r="BU29" s="41">
        <f>BF29-(8%+2.5%+3%+2.5%+BI29)</f>
        <v>2.2699999999999998E-2</v>
      </c>
      <c r="BV29" s="36"/>
      <c r="BW29" s="39">
        <f t="shared" si="28"/>
        <v>3.1166435369357716E-3</v>
      </c>
      <c r="BX29" s="6">
        <f t="shared" si="29"/>
        <v>0.10433943827825522</v>
      </c>
      <c r="BY29" s="40">
        <f t="shared" si="30"/>
        <v>1.7838198244346418E-2</v>
      </c>
      <c r="BZ29" s="6">
        <f t="shared" si="31"/>
        <v>8.9619267582870574E-2</v>
      </c>
      <c r="CA29" s="6">
        <f t="shared" si="32"/>
        <v>0.69270755125214811</v>
      </c>
      <c r="CB29" s="41">
        <f t="shared" si="33"/>
        <v>0.81374032593120893</v>
      </c>
      <c r="CC29" s="36"/>
      <c r="CD29" s="35">
        <v>50.308</v>
      </c>
      <c r="CE29" s="36">
        <v>203.40600000000001</v>
      </c>
      <c r="CF29" s="37">
        <f t="shared" si="34"/>
        <v>253.714</v>
      </c>
      <c r="CG29" s="33">
        <f t="shared" si="35"/>
        <v>5520.7929999999997</v>
      </c>
      <c r="CH29" s="36">
        <v>13.585000000000001</v>
      </c>
      <c r="CI29" s="36">
        <v>22.365000000000002</v>
      </c>
      <c r="CJ29" s="37">
        <f t="shared" si="36"/>
        <v>5484.8429999999998</v>
      </c>
      <c r="CK29" s="36">
        <v>733.38</v>
      </c>
      <c r="CL29" s="36">
        <v>421.74400000000003</v>
      </c>
      <c r="CM29" s="37">
        <f t="shared" si="37"/>
        <v>1155.124</v>
      </c>
      <c r="CN29" s="36">
        <v>12.315</v>
      </c>
      <c r="CO29" s="36">
        <v>0</v>
      </c>
      <c r="CP29" s="36">
        <v>58.485999999999997</v>
      </c>
      <c r="CQ29" s="36">
        <v>11.140999999999785</v>
      </c>
      <c r="CR29" s="37">
        <f t="shared" si="38"/>
        <v>6975.6229999999987</v>
      </c>
      <c r="CS29" s="36">
        <v>0</v>
      </c>
      <c r="CT29" s="33">
        <v>4976.576</v>
      </c>
      <c r="CU29" s="37">
        <f t="shared" si="39"/>
        <v>4976.576</v>
      </c>
      <c r="CV29" s="36">
        <v>829.43</v>
      </c>
      <c r="CW29" s="36">
        <v>56.484999999999673</v>
      </c>
      <c r="CX29" s="37">
        <f t="shared" si="40"/>
        <v>885.91499999999962</v>
      </c>
      <c r="CY29" s="36">
        <v>50.2</v>
      </c>
      <c r="CZ29" s="36">
        <v>1062.932</v>
      </c>
      <c r="DA29" s="71">
        <f t="shared" si="41"/>
        <v>6975.6229999999996</v>
      </c>
      <c r="DB29" s="36"/>
      <c r="DC29" s="72">
        <v>987.09400000000005</v>
      </c>
      <c r="DD29" s="36"/>
      <c r="DE29" s="32">
        <v>180</v>
      </c>
      <c r="DF29" s="33">
        <v>325</v>
      </c>
      <c r="DG29" s="33">
        <v>200</v>
      </c>
      <c r="DH29" s="33">
        <v>175</v>
      </c>
      <c r="DI29" s="33">
        <v>0</v>
      </c>
      <c r="DJ29" s="33">
        <v>0</v>
      </c>
      <c r="DK29" s="34">
        <f t="shared" si="42"/>
        <v>880</v>
      </c>
      <c r="DL29" s="63">
        <f t="shared" si="43"/>
        <v>0.12615360663843217</v>
      </c>
      <c r="DM29" s="63">
        <f t="shared" si="44"/>
        <v>0.38329537017697207</v>
      </c>
      <c r="DN29" s="36"/>
      <c r="DO29" s="65" t="s">
        <v>187</v>
      </c>
      <c r="DP29" s="59">
        <v>46</v>
      </c>
      <c r="DQ29" s="59">
        <v>18591</v>
      </c>
      <c r="DR29" s="73">
        <v>4</v>
      </c>
      <c r="DS29" s="59" t="s">
        <v>163</v>
      </c>
      <c r="DT29" s="75" t="s">
        <v>164</v>
      </c>
      <c r="DU29" s="59"/>
      <c r="DV29" s="63" t="s">
        <v>172</v>
      </c>
      <c r="DW29" s="64"/>
      <c r="DX29" s="32">
        <v>727.47699999999998</v>
      </c>
      <c r="DY29" s="33">
        <v>727.47699999999998</v>
      </c>
      <c r="DZ29" s="34">
        <v>777.47699999999998</v>
      </c>
      <c r="EA29" s="33"/>
      <c r="EB29" s="65">
        <f t="shared" si="45"/>
        <v>3572.0805</v>
      </c>
      <c r="EC29" s="33">
        <v>3454.4270000000001</v>
      </c>
      <c r="ED29" s="34">
        <v>3689.7339999999999</v>
      </c>
      <c r="EE29" s="33"/>
      <c r="EF29" s="32">
        <v>348.553</v>
      </c>
      <c r="EG29" s="33">
        <v>57.182000000000002</v>
      </c>
      <c r="EH29" s="33">
        <v>352.84199999999998</v>
      </c>
      <c r="EI29" s="33">
        <v>135.31100000000001</v>
      </c>
      <c r="EJ29" s="33">
        <v>620.40700000000004</v>
      </c>
      <c r="EK29" s="33">
        <v>21.468</v>
      </c>
      <c r="EL29" s="33">
        <v>74.087000000000899</v>
      </c>
      <c r="EM29" s="34">
        <v>3727.2930000000001</v>
      </c>
      <c r="EN29" s="34">
        <f t="shared" si="46"/>
        <v>5337.1430000000009</v>
      </c>
      <c r="EO29" s="59"/>
      <c r="EP29" s="48">
        <f t="shared" si="47"/>
        <v>6.530703786651397E-2</v>
      </c>
      <c r="EQ29" s="6">
        <f t="shared" si="47"/>
        <v>1.0713971875964349E-2</v>
      </c>
      <c r="ER29" s="6">
        <f t="shared" si="47"/>
        <v>6.611065133536799E-2</v>
      </c>
      <c r="ES29" s="6">
        <f t="shared" si="47"/>
        <v>2.5352702747518659E-2</v>
      </c>
      <c r="ET29" s="6">
        <f t="shared" si="47"/>
        <v>0.11624327847314564</v>
      </c>
      <c r="EU29" s="6">
        <f t="shared" si="47"/>
        <v>4.0223767659963387E-3</v>
      </c>
      <c r="EV29" s="6">
        <f t="shared" si="47"/>
        <v>1.3881396844716525E-2</v>
      </c>
      <c r="EW29" s="6">
        <f t="shared" si="47"/>
        <v>0.69836858409077651</v>
      </c>
      <c r="EX29" s="63">
        <f t="shared" si="48"/>
        <v>1</v>
      </c>
      <c r="EY29" s="59"/>
      <c r="EZ29" s="35">
        <v>33.576999999999998</v>
      </c>
      <c r="FA29" s="36">
        <v>64.903999999999996</v>
      </c>
      <c r="FB29" s="71">
        <f t="shared" si="49"/>
        <v>98.480999999999995</v>
      </c>
      <c r="FD29" s="35">
        <f t="shared" si="50"/>
        <v>13.585000000000001</v>
      </c>
      <c r="FE29" s="36">
        <f t="shared" si="50"/>
        <v>22.365000000000002</v>
      </c>
      <c r="FF29" s="71">
        <f t="shared" si="51"/>
        <v>35.950000000000003</v>
      </c>
      <c r="FH29" s="32">
        <f t="shared" si="52"/>
        <v>3824.2950000000005</v>
      </c>
      <c r="FI29" s="33">
        <f t="shared" si="53"/>
        <v>1696.4979999999994</v>
      </c>
      <c r="FJ29" s="34">
        <f t="shared" si="54"/>
        <v>5520.7929999999997</v>
      </c>
      <c r="FL29" s="48">
        <v>0.69270755125214811</v>
      </c>
      <c r="FM29" s="6">
        <v>0.30729244874785189</v>
      </c>
      <c r="FN29" s="41">
        <f t="shared" si="55"/>
        <v>1</v>
      </c>
      <c r="FO29" s="59"/>
      <c r="FP29" s="65">
        <f t="shared" si="56"/>
        <v>1012.2225000000001</v>
      </c>
      <c r="FQ29" s="33">
        <v>961.51300000000003</v>
      </c>
      <c r="FR29" s="34">
        <f t="shared" si="57"/>
        <v>1062.932</v>
      </c>
      <c r="FT29" s="65">
        <f t="shared" si="58"/>
        <v>5344.8525</v>
      </c>
      <c r="FU29" s="33">
        <v>5168.9120000000003</v>
      </c>
      <c r="FV29" s="34">
        <f t="shared" si="59"/>
        <v>5520.7929999999997</v>
      </c>
      <c r="FX29" s="65">
        <f t="shared" si="60"/>
        <v>3415.2659999999996</v>
      </c>
      <c r="FY29" s="33">
        <v>3243.0839999999998</v>
      </c>
      <c r="FZ29" s="34">
        <f t="shared" si="61"/>
        <v>3587.4479999999999</v>
      </c>
      <c r="GB29" s="65">
        <f t="shared" si="62"/>
        <v>8760.1185000000005</v>
      </c>
      <c r="GC29" s="59">
        <f t="shared" si="63"/>
        <v>8411.9959999999992</v>
      </c>
      <c r="GD29" s="73">
        <f t="shared" si="63"/>
        <v>9108.241</v>
      </c>
      <c r="GF29" s="65">
        <f t="shared" si="64"/>
        <v>4883.0859999999993</v>
      </c>
      <c r="GG29" s="33">
        <v>4789.5959999999995</v>
      </c>
      <c r="GH29" s="34">
        <f t="shared" si="65"/>
        <v>4976.576</v>
      </c>
      <c r="GI29" s="33"/>
      <c r="GJ29" s="65">
        <f t="shared" si="66"/>
        <v>6871.2075000000004</v>
      </c>
      <c r="GK29" s="33">
        <v>6766.7920000000004</v>
      </c>
      <c r="GL29" s="34">
        <f t="shared" si="67"/>
        <v>6975.6229999999996</v>
      </c>
      <c r="GM29" s="33"/>
      <c r="GN29" s="76">
        <f t="shared" si="68"/>
        <v>0.52894687685960096</v>
      </c>
      <c r="GO29" s="67"/>
    </row>
    <row r="30" spans="2:197" s="1" customFormat="1" x14ac:dyDescent="0.2">
      <c r="B30" s="77" t="s">
        <v>199</v>
      </c>
      <c r="C30" s="32">
        <v>3995.6390000000001</v>
      </c>
      <c r="D30" s="33">
        <v>3941.9085</v>
      </c>
      <c r="E30" s="33">
        <v>3104.0790000000002</v>
      </c>
      <c r="F30" s="33">
        <v>625.12400000000002</v>
      </c>
      <c r="G30" s="33">
        <v>2902.81</v>
      </c>
      <c r="H30" s="33">
        <v>4620.7629999999999</v>
      </c>
      <c r="I30" s="34">
        <v>3729.2030000000004</v>
      </c>
      <c r="J30" s="33"/>
      <c r="K30" s="35">
        <v>54.489999999999995</v>
      </c>
      <c r="L30" s="36">
        <v>8.8829999999999991</v>
      </c>
      <c r="M30" s="36">
        <v>0.371</v>
      </c>
      <c r="N30" s="37">
        <f t="shared" si="0"/>
        <v>63.743999999999993</v>
      </c>
      <c r="O30" s="36">
        <v>25.533999999999999</v>
      </c>
      <c r="P30" s="37">
        <f t="shared" si="1"/>
        <v>38.209999999999994</v>
      </c>
      <c r="Q30" s="36">
        <v>0.70799999999999996</v>
      </c>
      <c r="R30" s="37">
        <f t="shared" si="2"/>
        <v>37.501999999999995</v>
      </c>
      <c r="S30" s="36">
        <v>5.883</v>
      </c>
      <c r="T30" s="36">
        <v>3.7350000000000003</v>
      </c>
      <c r="U30" s="36">
        <v>0</v>
      </c>
      <c r="V30" s="37">
        <f t="shared" si="3"/>
        <v>47.12</v>
      </c>
      <c r="W30" s="36">
        <v>11.9</v>
      </c>
      <c r="X30" s="38">
        <f t="shared" si="4"/>
        <v>35.22</v>
      </c>
      <c r="Y30" s="36"/>
      <c r="Z30" s="39">
        <f t="shared" si="5"/>
        <v>2.7646506761889574E-2</v>
      </c>
      <c r="AA30" s="40">
        <f t="shared" si="6"/>
        <v>4.5069539285348707E-3</v>
      </c>
      <c r="AB30" s="6">
        <f t="shared" si="7"/>
        <v>0.34805485128540664</v>
      </c>
      <c r="AC30" s="6">
        <f t="shared" si="8"/>
        <v>0.36672555186924616</v>
      </c>
      <c r="AD30" s="6">
        <f t="shared" si="9"/>
        <v>0.40057103413654621</v>
      </c>
      <c r="AE30" s="40">
        <f t="shared" si="10"/>
        <v>1.2955145965463176E-2</v>
      </c>
      <c r="AF30" s="40">
        <f t="shared" si="11"/>
        <v>1.7869516758189593E-2</v>
      </c>
      <c r="AG30" s="40">
        <f t="shared" si="12"/>
        <v>3.3088458075035264E-2</v>
      </c>
      <c r="AH30" s="40">
        <f t="shared" si="13"/>
        <v>4.4933412061691838E-2</v>
      </c>
      <c r="AI30" s="40">
        <f t="shared" si="14"/>
        <v>3.5232349651617617E-2</v>
      </c>
      <c r="AJ30" s="41">
        <f t="shared" si="15"/>
        <v>0.11691587086472763</v>
      </c>
      <c r="AK30" s="42"/>
      <c r="AL30" s="48">
        <f t="shared" si="16"/>
        <v>-8.1271431050133815E-3</v>
      </c>
      <c r="AM30" s="6">
        <f t="shared" si="17"/>
        <v>3.9619646487230466E-2</v>
      </c>
      <c r="AN30" s="41">
        <f t="shared" si="18"/>
        <v>4.2626945355660383E-2</v>
      </c>
      <c r="AO30" s="36"/>
      <c r="AP30" s="48">
        <f t="shared" si="19"/>
        <v>0.93515983323878027</v>
      </c>
      <c r="AQ30" s="6">
        <f t="shared" si="20"/>
        <v>0.87276019231445712</v>
      </c>
      <c r="AR30" s="6">
        <f t="shared" si="21"/>
        <v>-6.3457434467928689E-2</v>
      </c>
      <c r="AS30" s="6">
        <f t="shared" si="22"/>
        <v>0.18414151028158451</v>
      </c>
      <c r="AT30" s="6">
        <f t="shared" si="23"/>
        <v>0.16937315908669429</v>
      </c>
      <c r="AU30" s="69">
        <v>2.5218000000000003</v>
      </c>
      <c r="AV30" s="70">
        <v>1.33</v>
      </c>
      <c r="AW30" s="36"/>
      <c r="AX30" s="48">
        <f t="shared" si="24"/>
        <v>0.1586877593296091</v>
      </c>
      <c r="AY30" s="6">
        <v>0.13300000000000001</v>
      </c>
      <c r="AZ30" s="6">
        <f t="shared" si="25"/>
        <v>0.25136407231181734</v>
      </c>
      <c r="BA30" s="6">
        <f t="shared" si="26"/>
        <v>0.25136407231181734</v>
      </c>
      <c r="BB30" s="41">
        <f t="shared" si="27"/>
        <v>0.25136407231181734</v>
      </c>
      <c r="BC30" s="6"/>
      <c r="BD30" s="48">
        <v>0.24</v>
      </c>
      <c r="BE30" s="6">
        <v>0.24199999999999999</v>
      </c>
      <c r="BF30" s="41">
        <v>0.245</v>
      </c>
      <c r="BG30" s="6"/>
      <c r="BH30" s="48"/>
      <c r="BI30" s="41"/>
      <c r="BJ30" s="48"/>
      <c r="BK30" s="41"/>
      <c r="BL30" s="63"/>
      <c r="BM30" s="6"/>
      <c r="BN30" s="48"/>
      <c r="BO30" s="41"/>
      <c r="BP30" s="6"/>
      <c r="BQ30" s="48"/>
      <c r="BR30" s="41"/>
      <c r="BS30" s="6"/>
      <c r="BT30" s="48"/>
      <c r="BU30" s="41"/>
      <c r="BV30" s="36"/>
      <c r="BW30" s="39">
        <f t="shared" si="28"/>
        <v>4.5431269803991017E-4</v>
      </c>
      <c r="BX30" s="6">
        <f t="shared" si="29"/>
        <v>1.4803044241866689E-2</v>
      </c>
      <c r="BY30" s="40">
        <f t="shared" si="30"/>
        <v>1.7422236998478453E-2</v>
      </c>
      <c r="BZ30" s="6">
        <f t="shared" si="31"/>
        <v>8.1461241139131835E-2</v>
      </c>
      <c r="CA30" s="6">
        <f t="shared" si="32"/>
        <v>0.67130507954211216</v>
      </c>
      <c r="CB30" s="41">
        <f t="shared" si="33"/>
        <v>0.7264040064324736</v>
      </c>
      <c r="CC30" s="36"/>
      <c r="CD30" s="35">
        <v>77.978999999999999</v>
      </c>
      <c r="CE30" s="36">
        <v>100.923</v>
      </c>
      <c r="CF30" s="37">
        <f t="shared" si="34"/>
        <v>178.90199999999999</v>
      </c>
      <c r="CG30" s="33">
        <f t="shared" si="35"/>
        <v>3104.0790000000002</v>
      </c>
      <c r="CH30" s="36">
        <v>22.273</v>
      </c>
      <c r="CI30" s="36">
        <v>7.5419999999999998</v>
      </c>
      <c r="CJ30" s="37">
        <f t="shared" si="36"/>
        <v>3074.2640000000001</v>
      </c>
      <c r="CK30" s="36">
        <v>491</v>
      </c>
      <c r="CL30" s="36">
        <v>227.036</v>
      </c>
      <c r="CM30" s="37">
        <f t="shared" si="37"/>
        <v>718.03600000000006</v>
      </c>
      <c r="CN30" s="36">
        <v>0</v>
      </c>
      <c r="CO30" s="36">
        <v>0</v>
      </c>
      <c r="CP30" s="36">
        <v>17.096</v>
      </c>
      <c r="CQ30" s="36">
        <v>7.3409999999998981</v>
      </c>
      <c r="CR30" s="37">
        <f t="shared" si="38"/>
        <v>3995.6390000000001</v>
      </c>
      <c r="CS30" s="36">
        <v>0</v>
      </c>
      <c r="CT30" s="33">
        <v>2902.81</v>
      </c>
      <c r="CU30" s="37">
        <f t="shared" si="39"/>
        <v>2902.81</v>
      </c>
      <c r="CV30" s="36">
        <v>423.20100000000002</v>
      </c>
      <c r="CW30" s="36">
        <v>35.569000000000187</v>
      </c>
      <c r="CX30" s="37">
        <f t="shared" si="40"/>
        <v>458.77000000000021</v>
      </c>
      <c r="CY30" s="36">
        <v>0</v>
      </c>
      <c r="CZ30" s="36">
        <v>634.05899999999997</v>
      </c>
      <c r="DA30" s="71">
        <f t="shared" si="41"/>
        <v>3995.6390000000001</v>
      </c>
      <c r="DB30" s="36"/>
      <c r="DC30" s="72">
        <v>676.75400000000013</v>
      </c>
      <c r="DD30" s="36"/>
      <c r="DE30" s="32">
        <v>80</v>
      </c>
      <c r="DF30" s="33">
        <v>215</v>
      </c>
      <c r="DG30" s="33">
        <v>75</v>
      </c>
      <c r="DH30" s="33">
        <v>50</v>
      </c>
      <c r="DI30" s="33">
        <v>0</v>
      </c>
      <c r="DJ30" s="33">
        <v>0</v>
      </c>
      <c r="DK30" s="34">
        <f t="shared" si="42"/>
        <v>420</v>
      </c>
      <c r="DL30" s="63">
        <f t="shared" si="43"/>
        <v>0.1051146011939517</v>
      </c>
      <c r="DM30" s="63">
        <f t="shared" si="44"/>
        <v>0.18334038685677059</v>
      </c>
      <c r="DN30" s="36"/>
      <c r="DO30" s="65" t="s">
        <v>177</v>
      </c>
      <c r="DP30" s="59">
        <v>24</v>
      </c>
      <c r="DQ30" s="59">
        <v>8446</v>
      </c>
      <c r="DR30" s="73">
        <v>2</v>
      </c>
      <c r="DS30" s="59" t="s">
        <v>163</v>
      </c>
      <c r="DT30" s="75" t="s">
        <v>164</v>
      </c>
      <c r="DU30" s="59"/>
      <c r="DV30" s="63" t="s">
        <v>172</v>
      </c>
      <c r="DW30" s="64"/>
      <c r="DX30" s="32">
        <v>538.58900000000006</v>
      </c>
      <c r="DY30" s="33">
        <v>538.58900000000006</v>
      </c>
      <c r="DZ30" s="34">
        <v>538.58900000000006</v>
      </c>
      <c r="EA30" s="33"/>
      <c r="EB30" s="65">
        <f t="shared" si="45"/>
        <v>2128.8389999999999</v>
      </c>
      <c r="EC30" s="33">
        <v>2115.0129999999999</v>
      </c>
      <c r="ED30" s="34">
        <v>2142.665</v>
      </c>
      <c r="EE30" s="33"/>
      <c r="EF30" s="32">
        <v>162.03399999999999</v>
      </c>
      <c r="EG30" s="33">
        <v>71.599000000000004</v>
      </c>
      <c r="EH30" s="33">
        <v>211.57300000000001</v>
      </c>
      <c r="EI30" s="33">
        <v>65.257000000000005</v>
      </c>
      <c r="EJ30" s="33">
        <v>385.76600000000002</v>
      </c>
      <c r="EK30" s="33">
        <v>13.888</v>
      </c>
      <c r="EL30" s="33">
        <v>105.12199999999984</v>
      </c>
      <c r="EM30" s="34">
        <v>2127.25</v>
      </c>
      <c r="EN30" s="34">
        <f t="shared" si="46"/>
        <v>3142.489</v>
      </c>
      <c r="EO30" s="59"/>
      <c r="EP30" s="48">
        <f t="shared" si="47"/>
        <v>5.1562312549065403E-2</v>
      </c>
      <c r="EQ30" s="6">
        <f t="shared" si="47"/>
        <v>2.2784168854688116E-2</v>
      </c>
      <c r="ER30" s="6">
        <f t="shared" si="47"/>
        <v>6.7326568207557766E-2</v>
      </c>
      <c r="ES30" s="6">
        <f t="shared" si="47"/>
        <v>2.076602336555514E-2</v>
      </c>
      <c r="ET30" s="6">
        <f t="shared" si="47"/>
        <v>0.12275810671095429</v>
      </c>
      <c r="EU30" s="6">
        <f t="shared" si="47"/>
        <v>4.4194267664898748E-3</v>
      </c>
      <c r="EV30" s="6">
        <f t="shared" si="47"/>
        <v>3.3451827516341293E-2</v>
      </c>
      <c r="EW30" s="6">
        <f t="shared" si="47"/>
        <v>0.67693156602934812</v>
      </c>
      <c r="EX30" s="63">
        <f t="shared" si="48"/>
        <v>1</v>
      </c>
      <c r="EY30" s="59"/>
      <c r="EZ30" s="35">
        <v>6.8040000000000003</v>
      </c>
      <c r="FA30" s="36">
        <v>47.276000000000003</v>
      </c>
      <c r="FB30" s="71">
        <f t="shared" si="49"/>
        <v>54.080000000000005</v>
      </c>
      <c r="FD30" s="35">
        <f t="shared" si="50"/>
        <v>22.273</v>
      </c>
      <c r="FE30" s="36">
        <f t="shared" si="50"/>
        <v>7.5419999999999998</v>
      </c>
      <c r="FF30" s="71">
        <f t="shared" si="51"/>
        <v>29.814999999999998</v>
      </c>
      <c r="FH30" s="32">
        <f t="shared" si="52"/>
        <v>2083.7840000000001</v>
      </c>
      <c r="FI30" s="33">
        <f t="shared" si="53"/>
        <v>1020.2950000000001</v>
      </c>
      <c r="FJ30" s="34">
        <f t="shared" si="54"/>
        <v>3104.0790000000002</v>
      </c>
      <c r="FL30" s="48">
        <v>0.67130507954211216</v>
      </c>
      <c r="FM30" s="6">
        <v>0.32869492045788784</v>
      </c>
      <c r="FN30" s="41">
        <f t="shared" si="55"/>
        <v>1</v>
      </c>
      <c r="FO30" s="59"/>
      <c r="FP30" s="65">
        <f t="shared" si="56"/>
        <v>602.48450000000003</v>
      </c>
      <c r="FQ30" s="33">
        <v>570.91</v>
      </c>
      <c r="FR30" s="34">
        <f t="shared" si="57"/>
        <v>634.05899999999997</v>
      </c>
      <c r="FT30" s="65">
        <f t="shared" si="58"/>
        <v>3116.7960000000003</v>
      </c>
      <c r="FU30" s="33">
        <v>3129.5129999999999</v>
      </c>
      <c r="FV30" s="34">
        <f t="shared" si="59"/>
        <v>3104.0790000000002</v>
      </c>
      <c r="FX30" s="65">
        <f t="shared" si="60"/>
        <v>541.34750000000008</v>
      </c>
      <c r="FY30" s="33">
        <v>457.57100000000003</v>
      </c>
      <c r="FZ30" s="34">
        <f t="shared" si="61"/>
        <v>625.12400000000002</v>
      </c>
      <c r="GB30" s="65">
        <f t="shared" si="62"/>
        <v>3658.1435000000001</v>
      </c>
      <c r="GC30" s="59">
        <f t="shared" si="63"/>
        <v>3587.0839999999998</v>
      </c>
      <c r="GD30" s="73">
        <f t="shared" si="63"/>
        <v>3729.2030000000004</v>
      </c>
      <c r="GF30" s="65">
        <f t="shared" si="64"/>
        <v>2843.4704999999999</v>
      </c>
      <c r="GG30" s="33">
        <v>2784.1309999999999</v>
      </c>
      <c r="GH30" s="34">
        <f t="shared" si="65"/>
        <v>2902.81</v>
      </c>
      <c r="GI30" s="33"/>
      <c r="GJ30" s="65">
        <f t="shared" si="66"/>
        <v>3941.9085</v>
      </c>
      <c r="GK30" s="33">
        <v>3888.1779999999999</v>
      </c>
      <c r="GL30" s="34">
        <f t="shared" si="67"/>
        <v>3995.6390000000001</v>
      </c>
      <c r="GM30" s="33"/>
      <c r="GN30" s="76">
        <f t="shared" si="68"/>
        <v>0.53625089754104405</v>
      </c>
      <c r="GO30" s="67"/>
    </row>
    <row r="31" spans="2:197" s="1" customFormat="1" x14ac:dyDescent="0.2">
      <c r="B31" s="77" t="s">
        <v>200</v>
      </c>
      <c r="C31" s="32">
        <v>13326.975</v>
      </c>
      <c r="D31" s="33">
        <v>12968.897000000001</v>
      </c>
      <c r="E31" s="33">
        <v>11149.237999999999</v>
      </c>
      <c r="F31" s="33">
        <v>3834.1889999999999</v>
      </c>
      <c r="G31" s="33">
        <v>8348.4179999999997</v>
      </c>
      <c r="H31" s="33">
        <v>17161.164000000001</v>
      </c>
      <c r="I31" s="34">
        <v>14983.427</v>
      </c>
      <c r="J31" s="33"/>
      <c r="K31" s="35">
        <v>132.94499999999999</v>
      </c>
      <c r="L31" s="36">
        <v>31.89</v>
      </c>
      <c r="M31" s="36">
        <v>0.29400000000000004</v>
      </c>
      <c r="N31" s="37">
        <f t="shared" si="0"/>
        <v>165.12899999999999</v>
      </c>
      <c r="O31" s="36">
        <v>66.941000000000003</v>
      </c>
      <c r="P31" s="37">
        <f t="shared" si="1"/>
        <v>98.187999999999988</v>
      </c>
      <c r="Q31" s="36">
        <v>10.334</v>
      </c>
      <c r="R31" s="37">
        <f t="shared" si="2"/>
        <v>87.853999999999985</v>
      </c>
      <c r="S31" s="36">
        <v>17.904</v>
      </c>
      <c r="T31" s="36">
        <v>1.3340000000000001</v>
      </c>
      <c r="U31" s="36">
        <v>-10.850000000000001</v>
      </c>
      <c r="V31" s="37">
        <f t="shared" si="3"/>
        <v>96.24199999999999</v>
      </c>
      <c r="W31" s="36">
        <v>18.905000000000001</v>
      </c>
      <c r="X31" s="38">
        <f t="shared" si="4"/>
        <v>77.336999999999989</v>
      </c>
      <c r="Y31" s="36"/>
      <c r="Z31" s="39">
        <f t="shared" si="5"/>
        <v>2.0502129055385357E-2</v>
      </c>
      <c r="AA31" s="40">
        <f t="shared" si="6"/>
        <v>4.9179201592857123E-3</v>
      </c>
      <c r="AB31" s="6">
        <f t="shared" si="7"/>
        <v>0.36308558473045616</v>
      </c>
      <c r="AC31" s="6">
        <f t="shared" si="8"/>
        <v>0.36573186256030338</v>
      </c>
      <c r="AD31" s="6">
        <f t="shared" si="9"/>
        <v>0.40538609208558163</v>
      </c>
      <c r="AE31" s="40">
        <f t="shared" si="10"/>
        <v>1.0323314311155374E-2</v>
      </c>
      <c r="AF31" s="40">
        <f t="shared" si="11"/>
        <v>1.1926534692965791E-2</v>
      </c>
      <c r="AG31" s="40">
        <f t="shared" si="12"/>
        <v>2.531777967815807E-2</v>
      </c>
      <c r="AH31" s="40">
        <f t="shared" si="13"/>
        <v>3.8441697977519035E-2</v>
      </c>
      <c r="AI31" s="40">
        <f t="shared" si="14"/>
        <v>2.8760725342913473E-2</v>
      </c>
      <c r="AJ31" s="41">
        <f t="shared" si="15"/>
        <v>9.4407390283315559E-2</v>
      </c>
      <c r="AK31" s="42"/>
      <c r="AL31" s="48">
        <f t="shared" si="16"/>
        <v>5.613689682172953E-2</v>
      </c>
      <c r="AM31" s="6">
        <f t="shared" si="17"/>
        <v>9.7212465554273597E-2</v>
      </c>
      <c r="AN31" s="41">
        <f t="shared" si="18"/>
        <v>6.8138255820633306E-2</v>
      </c>
      <c r="AO31" s="36"/>
      <c r="AP31" s="48">
        <f t="shared" si="19"/>
        <v>0.74878821314963406</v>
      </c>
      <c r="AQ31" s="6">
        <f t="shared" si="20"/>
        <v>0.72332234743605561</v>
      </c>
      <c r="AR31" s="6">
        <f t="shared" si="21"/>
        <v>0.12263428122285813</v>
      </c>
      <c r="AS31" s="6">
        <f t="shared" si="22"/>
        <v>0.37818563477458311</v>
      </c>
      <c r="AT31" s="6">
        <f t="shared" si="23"/>
        <v>0.11698116039086139</v>
      </c>
      <c r="AU31" s="69">
        <v>2.2999999999999998</v>
      </c>
      <c r="AV31" s="70">
        <v>1.35</v>
      </c>
      <c r="AW31" s="36"/>
      <c r="AX31" s="48">
        <f t="shared" si="24"/>
        <v>0.12889016449719459</v>
      </c>
      <c r="AY31" s="6">
        <v>9.6699999999999994E-2</v>
      </c>
      <c r="AZ31" s="6">
        <f t="shared" si="25"/>
        <v>0.20958350705407949</v>
      </c>
      <c r="BA31" s="6">
        <f t="shared" si="26"/>
        <v>0.20903745108783986</v>
      </c>
      <c r="BB31" s="41">
        <f t="shared" si="27"/>
        <v>0.21985289252269505</v>
      </c>
      <c r="BC31" s="6"/>
      <c r="BD31" s="48">
        <v>0.215</v>
      </c>
      <c r="BE31" s="6">
        <v>0.2248</v>
      </c>
      <c r="BF31" s="41">
        <v>0.2382</v>
      </c>
      <c r="BG31" s="6"/>
      <c r="BH31" s="48"/>
      <c r="BI31" s="41">
        <v>0.02</v>
      </c>
      <c r="BJ31" s="48"/>
      <c r="BK31" s="41"/>
      <c r="BL31" s="63"/>
      <c r="BM31" s="6"/>
      <c r="BN31" s="48"/>
      <c r="BO31" s="41">
        <f>BD31-(4.5%+2.5%+3%+2.5%+BI31)</f>
        <v>7.0000000000000007E-2</v>
      </c>
      <c r="BP31" s="6"/>
      <c r="BQ31" s="48"/>
      <c r="BR31" s="41">
        <f>BE31-(6%+2.5%+3%+2.5%+BI31)</f>
        <v>6.4800000000000024E-2</v>
      </c>
      <c r="BS31" s="6"/>
      <c r="BT31" s="48"/>
      <c r="BU31" s="41">
        <f>BF31-(8%+2.5%+3%+2.5%+BI31)</f>
        <v>5.8200000000000002E-2</v>
      </c>
      <c r="BV31" s="36"/>
      <c r="BW31" s="39">
        <f t="shared" si="28"/>
        <v>1.9043705248260145E-3</v>
      </c>
      <c r="BX31" s="6">
        <f t="shared" si="29"/>
        <v>8.8004360192802278E-2</v>
      </c>
      <c r="BY31" s="40">
        <f t="shared" si="30"/>
        <v>1.7899429539489604E-2</v>
      </c>
      <c r="BZ31" s="6">
        <f t="shared" si="31"/>
        <v>0.11430029479298338</v>
      </c>
      <c r="CA31" s="6">
        <f t="shared" si="32"/>
        <v>0.75533350350938788</v>
      </c>
      <c r="CB31" s="41">
        <f t="shared" si="33"/>
        <v>0.81794251742274982</v>
      </c>
      <c r="CC31" s="36"/>
      <c r="CD31" s="35">
        <v>11.009</v>
      </c>
      <c r="CE31" s="36">
        <v>433.75400000000002</v>
      </c>
      <c r="CF31" s="37">
        <f t="shared" si="34"/>
        <v>444.76300000000003</v>
      </c>
      <c r="CG31" s="33">
        <f t="shared" si="35"/>
        <v>11149.237999999999</v>
      </c>
      <c r="CH31" s="36">
        <v>15.694000000000001</v>
      </c>
      <c r="CI31" s="36">
        <v>12.561</v>
      </c>
      <c r="CJ31" s="37">
        <f t="shared" si="36"/>
        <v>11120.983</v>
      </c>
      <c r="CK31" s="36">
        <v>1097.5129999999999</v>
      </c>
      <c r="CL31" s="36">
        <v>560.97900000000004</v>
      </c>
      <c r="CM31" s="37">
        <f t="shared" si="37"/>
        <v>1658.492</v>
      </c>
      <c r="CN31" s="36">
        <v>6.2519999999999998</v>
      </c>
      <c r="CO31" s="36">
        <v>0</v>
      </c>
      <c r="CP31" s="36">
        <v>83.649000000000001</v>
      </c>
      <c r="CQ31" s="36">
        <v>12.835999999999402</v>
      </c>
      <c r="CR31" s="37">
        <f t="shared" si="38"/>
        <v>13326.975</v>
      </c>
      <c r="CS31" s="36">
        <v>0.25600000000000001</v>
      </c>
      <c r="CT31" s="33">
        <v>8348.4179999999997</v>
      </c>
      <c r="CU31" s="37">
        <f t="shared" si="39"/>
        <v>8348.6739999999991</v>
      </c>
      <c r="CV31" s="36">
        <v>3122.72</v>
      </c>
      <c r="CW31" s="36">
        <v>67.492000000001553</v>
      </c>
      <c r="CX31" s="37">
        <f t="shared" si="40"/>
        <v>3190.2120000000014</v>
      </c>
      <c r="CY31" s="36">
        <v>70.373000000000005</v>
      </c>
      <c r="CZ31" s="36">
        <v>1717.7159999999999</v>
      </c>
      <c r="DA31" s="71">
        <f t="shared" si="41"/>
        <v>13326.975</v>
      </c>
      <c r="DB31" s="36"/>
      <c r="DC31" s="72">
        <v>1559.0049999999999</v>
      </c>
      <c r="DD31" s="36"/>
      <c r="DE31" s="32">
        <v>565</v>
      </c>
      <c r="DF31" s="33">
        <v>850</v>
      </c>
      <c r="DG31" s="33">
        <v>790</v>
      </c>
      <c r="DH31" s="33">
        <v>550</v>
      </c>
      <c r="DI31" s="33">
        <v>350</v>
      </c>
      <c r="DJ31" s="33">
        <v>70</v>
      </c>
      <c r="DK31" s="34">
        <f t="shared" si="42"/>
        <v>3175</v>
      </c>
      <c r="DL31" s="63">
        <f t="shared" si="43"/>
        <v>0.23823861003716146</v>
      </c>
      <c r="DM31" s="63">
        <f t="shared" si="44"/>
        <v>0.38208929633318889</v>
      </c>
      <c r="DN31" s="36"/>
      <c r="DO31" s="65" t="s">
        <v>193</v>
      </c>
      <c r="DP31" s="59">
        <v>61</v>
      </c>
      <c r="DQ31" s="59">
        <v>23697</v>
      </c>
      <c r="DR31" s="73">
        <v>7</v>
      </c>
      <c r="DS31" s="59" t="s">
        <v>163</v>
      </c>
      <c r="DT31" s="75" t="s">
        <v>164</v>
      </c>
      <c r="DU31" s="59"/>
      <c r="DV31" s="63" t="s">
        <v>172</v>
      </c>
      <c r="DW31" s="64"/>
      <c r="DX31" s="32">
        <v>1304.9650000000001</v>
      </c>
      <c r="DY31" s="33">
        <v>1301.5650000000001</v>
      </c>
      <c r="DZ31" s="34">
        <v>1368.9069999999999</v>
      </c>
      <c r="EA31" s="33"/>
      <c r="EB31" s="65">
        <f t="shared" si="45"/>
        <v>6109.3035</v>
      </c>
      <c r="EC31" s="33">
        <v>5992.1390000000001</v>
      </c>
      <c r="ED31" s="34">
        <v>6226.4679999999998</v>
      </c>
      <c r="EE31" s="33"/>
      <c r="EF31" s="32">
        <v>806.61199999999997</v>
      </c>
      <c r="EG31" s="33">
        <v>130.68799999999999</v>
      </c>
      <c r="EH31" s="33">
        <v>394.48700000000002</v>
      </c>
      <c r="EI31" s="33">
        <v>61.34</v>
      </c>
      <c r="EJ31" s="33">
        <v>744.56500000000005</v>
      </c>
      <c r="EK31" s="33">
        <v>75.92</v>
      </c>
      <c r="EL31" s="33">
        <v>334.33600000000115</v>
      </c>
      <c r="EM31" s="34">
        <v>8296.482</v>
      </c>
      <c r="EN31" s="34">
        <f t="shared" si="46"/>
        <v>10844.43</v>
      </c>
      <c r="EO31" s="59"/>
      <c r="EP31" s="48">
        <f t="shared" si="47"/>
        <v>7.4380303990158991E-2</v>
      </c>
      <c r="EQ31" s="6">
        <f t="shared" si="47"/>
        <v>1.205116359273839E-2</v>
      </c>
      <c r="ER31" s="6">
        <f t="shared" si="47"/>
        <v>3.6376923452869352E-2</v>
      </c>
      <c r="ES31" s="6">
        <f t="shared" si="47"/>
        <v>5.6563599931024498E-3</v>
      </c>
      <c r="ET31" s="6">
        <f t="shared" si="47"/>
        <v>6.8658749238088124E-2</v>
      </c>
      <c r="EU31" s="6">
        <f t="shared" si="47"/>
        <v>7.0008289970058361E-3</v>
      </c>
      <c r="EV31" s="6">
        <f t="shared" si="47"/>
        <v>3.0830204999248566E-2</v>
      </c>
      <c r="EW31" s="6">
        <f t="shared" si="47"/>
        <v>0.76504546573678833</v>
      </c>
      <c r="EX31" s="63">
        <f t="shared" si="48"/>
        <v>1</v>
      </c>
      <c r="EY31" s="59"/>
      <c r="EZ31" s="35">
        <v>22.648</v>
      </c>
      <c r="FA31" s="36">
        <v>176.917</v>
      </c>
      <c r="FB31" s="71">
        <f t="shared" si="49"/>
        <v>199.565</v>
      </c>
      <c r="FD31" s="35">
        <f t="shared" si="50"/>
        <v>15.694000000000001</v>
      </c>
      <c r="FE31" s="36">
        <f t="shared" si="50"/>
        <v>12.561</v>
      </c>
      <c r="FF31" s="71">
        <f t="shared" si="51"/>
        <v>28.255000000000003</v>
      </c>
      <c r="FH31" s="32">
        <f t="shared" si="52"/>
        <v>8421.393</v>
      </c>
      <c r="FI31" s="33">
        <f t="shared" si="53"/>
        <v>2727.8449999999989</v>
      </c>
      <c r="FJ31" s="34">
        <f t="shared" si="54"/>
        <v>11149.237999999999</v>
      </c>
      <c r="FL31" s="48">
        <v>0.75533350350938788</v>
      </c>
      <c r="FM31" s="6">
        <v>0.24466649649061212</v>
      </c>
      <c r="FN31" s="41">
        <f t="shared" si="55"/>
        <v>1</v>
      </c>
      <c r="FO31" s="59"/>
      <c r="FP31" s="65">
        <f t="shared" si="56"/>
        <v>1638.3674999999998</v>
      </c>
      <c r="FQ31" s="33">
        <v>1559.019</v>
      </c>
      <c r="FR31" s="34">
        <f t="shared" si="57"/>
        <v>1717.7159999999999</v>
      </c>
      <c r="FT31" s="65">
        <f t="shared" si="58"/>
        <v>10852.93</v>
      </c>
      <c r="FU31" s="33">
        <v>10556.621999999999</v>
      </c>
      <c r="FV31" s="34">
        <f t="shared" si="59"/>
        <v>11149.237999999999</v>
      </c>
      <c r="FX31" s="65">
        <f t="shared" si="60"/>
        <v>3466.7349999999997</v>
      </c>
      <c r="FY31" s="33">
        <v>3099.2809999999999</v>
      </c>
      <c r="FZ31" s="34">
        <f t="shared" si="61"/>
        <v>3834.1889999999999</v>
      </c>
      <c r="GB31" s="65">
        <f t="shared" si="62"/>
        <v>14319.664999999999</v>
      </c>
      <c r="GC31" s="59">
        <f t="shared" si="63"/>
        <v>13655.902999999998</v>
      </c>
      <c r="GD31" s="73">
        <f t="shared" si="63"/>
        <v>14983.427</v>
      </c>
      <c r="GF31" s="65">
        <f t="shared" si="64"/>
        <v>8082.1385</v>
      </c>
      <c r="GG31" s="33">
        <v>7815.8590000000004</v>
      </c>
      <c r="GH31" s="34">
        <f t="shared" si="65"/>
        <v>8348.4179999999997</v>
      </c>
      <c r="GI31" s="33"/>
      <c r="GJ31" s="65">
        <f t="shared" si="66"/>
        <v>12968.897000000001</v>
      </c>
      <c r="GK31" s="33">
        <v>12610.819</v>
      </c>
      <c r="GL31" s="34">
        <f t="shared" si="67"/>
        <v>13326.975</v>
      </c>
      <c r="GM31" s="33"/>
      <c r="GN31" s="76">
        <f t="shared" si="68"/>
        <v>0.46720789976720145</v>
      </c>
      <c r="GO31" s="67"/>
    </row>
    <row r="32" spans="2:197" s="1" customFormat="1" x14ac:dyDescent="0.2">
      <c r="B32" s="77" t="s">
        <v>201</v>
      </c>
      <c r="C32" s="32">
        <v>6377.05</v>
      </c>
      <c r="D32" s="33">
        <v>6527.1409999999996</v>
      </c>
      <c r="E32" s="33">
        <v>3433.2139999999999</v>
      </c>
      <c r="F32" s="33">
        <v>356.01900000000001</v>
      </c>
      <c r="G32" s="33">
        <v>5206.0249999999996</v>
      </c>
      <c r="H32" s="33">
        <v>6733.0690000000004</v>
      </c>
      <c r="I32" s="34">
        <v>3789.2330000000002</v>
      </c>
      <c r="J32" s="33"/>
      <c r="K32" s="35">
        <v>56.912999999999997</v>
      </c>
      <c r="L32" s="36">
        <v>1.6859999999999999</v>
      </c>
      <c r="M32" s="36">
        <v>-0.32300000000000001</v>
      </c>
      <c r="N32" s="37">
        <f t="shared" si="0"/>
        <v>58.275999999999996</v>
      </c>
      <c r="O32" s="36">
        <v>22.548999999999999</v>
      </c>
      <c r="P32" s="37">
        <f t="shared" si="1"/>
        <v>35.726999999999997</v>
      </c>
      <c r="Q32" s="36">
        <v>-1.5369999999999999</v>
      </c>
      <c r="R32" s="37">
        <f t="shared" si="2"/>
        <v>37.263999999999996</v>
      </c>
      <c r="S32" s="36">
        <v>4.056</v>
      </c>
      <c r="T32" s="36">
        <v>-2.3360000000000003</v>
      </c>
      <c r="U32" s="36">
        <v>-3.66</v>
      </c>
      <c r="V32" s="37">
        <f t="shared" si="3"/>
        <v>35.323999999999998</v>
      </c>
      <c r="W32" s="36">
        <v>7.8219999999999992</v>
      </c>
      <c r="X32" s="38">
        <f t="shared" si="4"/>
        <v>27.501999999999999</v>
      </c>
      <c r="Y32" s="36"/>
      <c r="Z32" s="39">
        <f t="shared" si="5"/>
        <v>1.7438875611849047E-2</v>
      </c>
      <c r="AA32" s="40">
        <f t="shared" si="6"/>
        <v>5.1661209708814325E-4</v>
      </c>
      <c r="AB32" s="6">
        <f t="shared" si="7"/>
        <v>0.37584172278151878</v>
      </c>
      <c r="AC32" s="6">
        <f t="shared" si="8"/>
        <v>0.36175640120644292</v>
      </c>
      <c r="AD32" s="6">
        <f t="shared" si="9"/>
        <v>0.38693458713707191</v>
      </c>
      <c r="AE32" s="40">
        <f t="shared" si="10"/>
        <v>6.9093037824676995E-3</v>
      </c>
      <c r="AF32" s="40">
        <f t="shared" si="11"/>
        <v>8.4269667224899855E-3</v>
      </c>
      <c r="AG32" s="40">
        <f t="shared" si="12"/>
        <v>2.4622078579006501E-2</v>
      </c>
      <c r="AH32" s="40">
        <f t="shared" si="13"/>
        <v>3.3525670007565136E-2</v>
      </c>
      <c r="AI32" s="40">
        <f t="shared" si="14"/>
        <v>3.3361833181881254E-2</v>
      </c>
      <c r="AJ32" s="41">
        <f t="shared" si="15"/>
        <v>0.11684283869213515</v>
      </c>
      <c r="AK32" s="42"/>
      <c r="AL32" s="48">
        <f t="shared" si="16"/>
        <v>2.5769622858208215E-2</v>
      </c>
      <c r="AM32" s="6">
        <f t="shared" si="17"/>
        <v>2.4826388567374025E-3</v>
      </c>
      <c r="AN32" s="41">
        <f t="shared" si="18"/>
        <v>-5.0892586934248397E-2</v>
      </c>
      <c r="AO32" s="36"/>
      <c r="AP32" s="48">
        <f t="shared" si="19"/>
        <v>1.5163706660872289</v>
      </c>
      <c r="AQ32" s="6">
        <f t="shared" si="20"/>
        <v>0.88987149572048407</v>
      </c>
      <c r="AR32" s="6">
        <f t="shared" si="21"/>
        <v>-0.34321559341701896</v>
      </c>
      <c r="AS32" s="6">
        <f t="shared" si="22"/>
        <v>0.11555005841258889</v>
      </c>
      <c r="AT32" s="6">
        <f t="shared" si="23"/>
        <v>0.44424757528951486</v>
      </c>
      <c r="AU32" s="69">
        <v>3.2266000000000004</v>
      </c>
      <c r="AV32" s="70">
        <v>1.55</v>
      </c>
      <c r="AW32" s="36"/>
      <c r="AX32" s="48">
        <f t="shared" si="24"/>
        <v>7.7953128797798352E-2</v>
      </c>
      <c r="AY32" s="6">
        <v>7.2800000000000004E-2</v>
      </c>
      <c r="AZ32" s="6">
        <f t="shared" si="25"/>
        <v>0.19446367124822511</v>
      </c>
      <c r="BA32" s="6">
        <f t="shared" si="26"/>
        <v>0.21247707231795093</v>
      </c>
      <c r="BB32" s="41">
        <f t="shared" si="27"/>
        <v>0.23274214852139252</v>
      </c>
      <c r="BC32" s="6"/>
      <c r="BD32" s="48">
        <v>0.1908</v>
      </c>
      <c r="BE32" s="6">
        <v>0.20899999999999999</v>
      </c>
      <c r="BF32" s="41">
        <v>0.22939999999999999</v>
      </c>
      <c r="BG32" s="6"/>
      <c r="BH32" s="48"/>
      <c r="BI32" s="78">
        <v>2.8000000000000001E-2</v>
      </c>
      <c r="BJ32" s="79">
        <f>BI32*56.25%</f>
        <v>1.575E-2</v>
      </c>
      <c r="BK32" s="78">
        <f>BI32*75%</f>
        <v>2.1000000000000001E-2</v>
      </c>
      <c r="BL32" s="80">
        <v>0.01</v>
      </c>
      <c r="BM32" s="6"/>
      <c r="BN32" s="48"/>
      <c r="BO32" s="78">
        <f>BD32-(4.5%+2.5%+3%+2.5%+BJ32)</f>
        <v>5.0050000000000011E-2</v>
      </c>
      <c r="BP32" s="6"/>
      <c r="BQ32" s="48"/>
      <c r="BR32" s="78">
        <f>BE32-(6%+2.5%+3%+2.5%+BK32)</f>
        <v>4.8000000000000015E-2</v>
      </c>
      <c r="BS32" s="6"/>
      <c r="BT32" s="48"/>
      <c r="BU32" s="41">
        <f>BF32-(8%+2.5%+3%+2.5%+BI32)</f>
        <v>4.1399999999999992E-2</v>
      </c>
      <c r="BV32" s="36"/>
      <c r="BW32" s="39">
        <f t="shared" si="28"/>
        <v>-9.0676085495100566E-4</v>
      </c>
      <c r="BX32" s="6">
        <f t="shared" si="29"/>
        <v>-4.1044676476086207E-2</v>
      </c>
      <c r="BY32" s="40">
        <f t="shared" si="30"/>
        <v>3.1170209605343564E-2</v>
      </c>
      <c r="BZ32" s="6">
        <f t="shared" si="31"/>
        <v>0.20504301507922823</v>
      </c>
      <c r="CA32" s="6">
        <f t="shared" si="32"/>
        <v>0.77526830544207259</v>
      </c>
      <c r="CB32" s="41">
        <f t="shared" si="33"/>
        <v>0.7963830674967729</v>
      </c>
      <c r="CC32" s="36"/>
      <c r="CD32" s="35">
        <v>1074.1379999999999</v>
      </c>
      <c r="CE32" s="36">
        <v>1224.7560000000001</v>
      </c>
      <c r="CF32" s="37">
        <f t="shared" si="34"/>
        <v>2298.8940000000002</v>
      </c>
      <c r="CG32" s="33">
        <f t="shared" si="35"/>
        <v>3433.2139999999999</v>
      </c>
      <c r="CH32" s="36">
        <v>10.818</v>
      </c>
      <c r="CI32" s="36">
        <v>13.981</v>
      </c>
      <c r="CJ32" s="37">
        <f t="shared" si="36"/>
        <v>3408.4149999999995</v>
      </c>
      <c r="CK32" s="36">
        <v>534.09500000000003</v>
      </c>
      <c r="CL32" s="36">
        <v>121.483</v>
      </c>
      <c r="CM32" s="37">
        <f t="shared" si="37"/>
        <v>655.57799999999997</v>
      </c>
      <c r="CN32" s="36">
        <v>0</v>
      </c>
      <c r="CO32" s="36">
        <v>0.93600000000000005</v>
      </c>
      <c r="CP32" s="36">
        <v>8.3030000000000008</v>
      </c>
      <c r="CQ32" s="36">
        <v>4.9240000000004649</v>
      </c>
      <c r="CR32" s="37">
        <f t="shared" si="38"/>
        <v>6377.0499999999993</v>
      </c>
      <c r="CS32" s="36">
        <v>100.91</v>
      </c>
      <c r="CT32" s="33">
        <v>5206.0249999999996</v>
      </c>
      <c r="CU32" s="37">
        <f t="shared" si="39"/>
        <v>5306.9349999999995</v>
      </c>
      <c r="CV32" s="36">
        <v>457.94900000000001</v>
      </c>
      <c r="CW32" s="36">
        <v>29.628000000000611</v>
      </c>
      <c r="CX32" s="37">
        <f t="shared" si="40"/>
        <v>487.57700000000062</v>
      </c>
      <c r="CY32" s="36">
        <v>85.426999999999992</v>
      </c>
      <c r="CZ32" s="36">
        <v>497.11099999999999</v>
      </c>
      <c r="DA32" s="71">
        <f t="shared" si="41"/>
        <v>6377.0499999999993</v>
      </c>
      <c r="DB32" s="36"/>
      <c r="DC32" s="72">
        <v>2832.9890000000005</v>
      </c>
      <c r="DD32" s="36"/>
      <c r="DE32" s="32">
        <v>75</v>
      </c>
      <c r="DF32" s="33">
        <v>185</v>
      </c>
      <c r="DG32" s="33">
        <v>170</v>
      </c>
      <c r="DH32" s="33">
        <v>120</v>
      </c>
      <c r="DI32" s="33">
        <v>90</v>
      </c>
      <c r="DJ32" s="33">
        <v>0</v>
      </c>
      <c r="DK32" s="34">
        <f t="shared" si="42"/>
        <v>640</v>
      </c>
      <c r="DL32" s="63">
        <f t="shared" si="43"/>
        <v>0.10035988427250844</v>
      </c>
      <c r="DM32" s="63">
        <f t="shared" si="44"/>
        <v>0.12827396680283204</v>
      </c>
      <c r="DN32" s="36"/>
      <c r="DO32" s="65" t="s">
        <v>187</v>
      </c>
      <c r="DP32" s="59">
        <v>16</v>
      </c>
      <c r="DQ32" s="59">
        <v>4754</v>
      </c>
      <c r="DR32" s="73">
        <v>1</v>
      </c>
      <c r="DS32" s="59" t="s">
        <v>163</v>
      </c>
      <c r="DT32" s="75" t="s">
        <v>164</v>
      </c>
      <c r="DU32" s="59"/>
      <c r="DV32" s="63" t="s">
        <v>172</v>
      </c>
      <c r="DW32" s="64"/>
      <c r="DX32" s="32">
        <v>431.82</v>
      </c>
      <c r="DY32" s="33">
        <v>471.82</v>
      </c>
      <c r="DZ32" s="34">
        <v>516.82000000000005</v>
      </c>
      <c r="EA32" s="33"/>
      <c r="EB32" s="65">
        <f t="shared" si="45"/>
        <v>2233.9300000000003</v>
      </c>
      <c r="EC32" s="33">
        <v>2247.2910000000002</v>
      </c>
      <c r="ED32" s="34">
        <v>2220.569</v>
      </c>
      <c r="EE32" s="33"/>
      <c r="EF32" s="32">
        <v>0</v>
      </c>
      <c r="EG32" s="33">
        <v>5.81</v>
      </c>
      <c r="EH32" s="33">
        <v>192.566</v>
      </c>
      <c r="EI32" s="33">
        <v>4.8899999999999997</v>
      </c>
      <c r="EJ32" s="33">
        <v>278.91500000000002</v>
      </c>
      <c r="EK32" s="33">
        <v>0</v>
      </c>
      <c r="EL32" s="33">
        <v>190.08200000000033</v>
      </c>
      <c r="EM32" s="34">
        <v>2538.8910000000001</v>
      </c>
      <c r="EN32" s="34">
        <f t="shared" si="46"/>
        <v>3211.1540000000005</v>
      </c>
      <c r="EO32" s="59"/>
      <c r="EP32" s="48">
        <f t="shared" si="47"/>
        <v>0</v>
      </c>
      <c r="EQ32" s="6">
        <f t="shared" si="47"/>
        <v>1.8093183945709233E-3</v>
      </c>
      <c r="ER32" s="6">
        <f t="shared" si="47"/>
        <v>5.9967849564362213E-2</v>
      </c>
      <c r="ES32" s="6">
        <f t="shared" si="47"/>
        <v>1.5228170308867152E-3</v>
      </c>
      <c r="ET32" s="6">
        <f t="shared" si="47"/>
        <v>8.6858182447805368E-2</v>
      </c>
      <c r="EU32" s="6">
        <f t="shared" si="47"/>
        <v>0</v>
      </c>
      <c r="EV32" s="6">
        <f t="shared" si="47"/>
        <v>5.9194295882414955E-2</v>
      </c>
      <c r="EW32" s="6">
        <f t="shared" si="47"/>
        <v>0.79064753667995979</v>
      </c>
      <c r="EX32" s="63">
        <f t="shared" si="48"/>
        <v>1</v>
      </c>
      <c r="EY32" s="59"/>
      <c r="EZ32" s="35">
        <v>107.014</v>
      </c>
      <c r="FA32" s="36">
        <v>0</v>
      </c>
      <c r="FB32" s="71">
        <f t="shared" si="49"/>
        <v>107.014</v>
      </c>
      <c r="FD32" s="35">
        <f t="shared" si="50"/>
        <v>10.818</v>
      </c>
      <c r="FE32" s="36">
        <f t="shared" si="50"/>
        <v>13.981</v>
      </c>
      <c r="FF32" s="71">
        <f t="shared" si="51"/>
        <v>24.798999999999999</v>
      </c>
      <c r="FH32" s="32">
        <f t="shared" si="52"/>
        <v>2661.6619999999998</v>
      </c>
      <c r="FI32" s="33">
        <f t="shared" si="53"/>
        <v>771.55200000000013</v>
      </c>
      <c r="FJ32" s="34">
        <f t="shared" si="54"/>
        <v>3433.2139999999999</v>
      </c>
      <c r="FL32" s="48">
        <v>0.77526830544207259</v>
      </c>
      <c r="FM32" s="6">
        <v>0.22473169455792741</v>
      </c>
      <c r="FN32" s="41">
        <f t="shared" si="55"/>
        <v>1</v>
      </c>
      <c r="FO32" s="59"/>
      <c r="FP32" s="65">
        <f t="shared" si="56"/>
        <v>470.75199999999995</v>
      </c>
      <c r="FQ32" s="33">
        <v>444.39299999999997</v>
      </c>
      <c r="FR32" s="34">
        <f t="shared" si="57"/>
        <v>497.11099999999999</v>
      </c>
      <c r="FT32" s="65">
        <f t="shared" si="58"/>
        <v>3390.0889999999999</v>
      </c>
      <c r="FU32" s="33">
        <v>3346.9639999999999</v>
      </c>
      <c r="FV32" s="34">
        <f t="shared" si="59"/>
        <v>3433.2139999999999</v>
      </c>
      <c r="FX32" s="65">
        <f t="shared" si="60"/>
        <v>394.452</v>
      </c>
      <c r="FY32" s="33">
        <v>432.88499999999999</v>
      </c>
      <c r="FZ32" s="34">
        <f t="shared" si="61"/>
        <v>356.01900000000001</v>
      </c>
      <c r="GB32" s="65">
        <f t="shared" si="62"/>
        <v>3784.5410000000002</v>
      </c>
      <c r="GC32" s="59">
        <f t="shared" si="63"/>
        <v>3779.8490000000002</v>
      </c>
      <c r="GD32" s="73">
        <f t="shared" si="63"/>
        <v>3789.2330000000002</v>
      </c>
      <c r="GF32" s="65">
        <f t="shared" si="64"/>
        <v>5345.6025</v>
      </c>
      <c r="GG32" s="33">
        <v>5485.18</v>
      </c>
      <c r="GH32" s="34">
        <f t="shared" si="65"/>
        <v>5206.0249999999996</v>
      </c>
      <c r="GI32" s="33"/>
      <c r="GJ32" s="65">
        <f t="shared" si="66"/>
        <v>6527.1409999999996</v>
      </c>
      <c r="GK32" s="33">
        <v>6677.232</v>
      </c>
      <c r="GL32" s="34">
        <f t="shared" si="67"/>
        <v>6377.05</v>
      </c>
      <c r="GM32" s="33"/>
      <c r="GN32" s="76">
        <f t="shared" si="68"/>
        <v>0.34821257477987472</v>
      </c>
      <c r="GO32" s="67"/>
    </row>
    <row r="33" spans="2:198" s="1" customFormat="1" x14ac:dyDescent="0.2">
      <c r="B33" s="77" t="s">
        <v>202</v>
      </c>
      <c r="C33" s="32">
        <v>2633.4679999999998</v>
      </c>
      <c r="D33" s="33">
        <v>2558.1824999999999</v>
      </c>
      <c r="E33" s="33">
        <v>2180.6669999999999</v>
      </c>
      <c r="F33" s="33">
        <v>482.39100000000002</v>
      </c>
      <c r="G33" s="33">
        <v>1855.165</v>
      </c>
      <c r="H33" s="33">
        <v>3115.8589999999999</v>
      </c>
      <c r="I33" s="34">
        <v>2663.058</v>
      </c>
      <c r="J33" s="33"/>
      <c r="K33" s="35">
        <v>27.444000000000003</v>
      </c>
      <c r="L33" s="36">
        <v>6.08</v>
      </c>
      <c r="M33" s="36">
        <v>0</v>
      </c>
      <c r="N33" s="37">
        <f t="shared" si="0"/>
        <v>33.524000000000001</v>
      </c>
      <c r="O33" s="36">
        <v>14.222999999999999</v>
      </c>
      <c r="P33" s="37">
        <f t="shared" si="1"/>
        <v>19.301000000000002</v>
      </c>
      <c r="Q33" s="36">
        <v>0.122</v>
      </c>
      <c r="R33" s="37">
        <f t="shared" si="2"/>
        <v>19.179000000000002</v>
      </c>
      <c r="S33" s="36">
        <v>4.569</v>
      </c>
      <c r="T33" s="36">
        <v>-0.126</v>
      </c>
      <c r="U33" s="36">
        <v>-5.7</v>
      </c>
      <c r="V33" s="37">
        <f t="shared" si="3"/>
        <v>17.922000000000001</v>
      </c>
      <c r="W33" s="36">
        <v>4.3000000000000007</v>
      </c>
      <c r="X33" s="38">
        <f t="shared" si="4"/>
        <v>13.622</v>
      </c>
      <c r="Y33" s="36"/>
      <c r="Z33" s="39">
        <f t="shared" si="5"/>
        <v>2.145585782093342E-2</v>
      </c>
      <c r="AA33" s="40">
        <f t="shared" si="6"/>
        <v>4.7533747103656598E-3</v>
      </c>
      <c r="AB33" s="6">
        <f t="shared" si="7"/>
        <v>0.37461479706060519</v>
      </c>
      <c r="AC33" s="6">
        <f t="shared" si="8"/>
        <v>0.37337568582154196</v>
      </c>
      <c r="AD33" s="6">
        <f t="shared" si="9"/>
        <v>0.42426321441355441</v>
      </c>
      <c r="AE33" s="40">
        <f t="shared" si="10"/>
        <v>1.1119613241041246E-2</v>
      </c>
      <c r="AF33" s="40">
        <f t="shared" si="11"/>
        <v>1.064974840536201E-2</v>
      </c>
      <c r="AG33" s="40">
        <f t="shared" si="12"/>
        <v>2.3946348366455424E-2</v>
      </c>
      <c r="AH33" s="40">
        <f t="shared" si="13"/>
        <v>4.1739986464037405E-2</v>
      </c>
      <c r="AI33" s="40">
        <f t="shared" si="14"/>
        <v>3.3715094356206766E-2</v>
      </c>
      <c r="AJ33" s="41">
        <f t="shared" si="15"/>
        <v>8.3427880235486862E-2</v>
      </c>
      <c r="AK33" s="42"/>
      <c r="AL33" s="48">
        <f t="shared" si="16"/>
        <v>6.1359448417646643E-2</v>
      </c>
      <c r="AM33" s="6">
        <f t="shared" si="17"/>
        <v>6.2790684680902459E-2</v>
      </c>
      <c r="AN33" s="41">
        <f t="shared" si="18"/>
        <v>3.7421585173404479E-2</v>
      </c>
      <c r="AO33" s="36"/>
      <c r="AP33" s="48">
        <f t="shared" si="19"/>
        <v>0.85073282624077862</v>
      </c>
      <c r="AQ33" s="6">
        <f t="shared" si="20"/>
        <v>0.81446331860551702</v>
      </c>
      <c r="AR33" s="6">
        <f t="shared" si="21"/>
        <v>2.3516518902071321E-2</v>
      </c>
      <c r="AS33" s="6">
        <f t="shared" si="22"/>
        <v>0.25206552728189596</v>
      </c>
      <c r="AT33" s="6">
        <f t="shared" si="23"/>
        <v>0.1369604643003067</v>
      </c>
      <c r="AU33" s="69">
        <v>2.85</v>
      </c>
      <c r="AV33" s="70">
        <v>1.4</v>
      </c>
      <c r="AW33" s="36"/>
      <c r="AX33" s="48">
        <f t="shared" si="24"/>
        <v>0.12951818666488449</v>
      </c>
      <c r="AY33" s="6">
        <v>9.8100000000000007E-2</v>
      </c>
      <c r="AZ33" s="6">
        <f t="shared" si="25"/>
        <v>0.22142719520949097</v>
      </c>
      <c r="BA33" s="6">
        <f t="shared" si="26"/>
        <v>0.22142719520949097</v>
      </c>
      <c r="BB33" s="41">
        <f t="shared" si="27"/>
        <v>0.22142719520949097</v>
      </c>
      <c r="BC33" s="6"/>
      <c r="BD33" s="48">
        <v>0.224</v>
      </c>
      <c r="BE33" s="6">
        <v>0.22720000000000001</v>
      </c>
      <c r="BF33" s="41">
        <v>0.23050000000000001</v>
      </c>
      <c r="BG33" s="6"/>
      <c r="BH33" s="48"/>
      <c r="BI33" s="41"/>
      <c r="BJ33" s="48"/>
      <c r="BK33" s="41"/>
      <c r="BL33" s="63"/>
      <c r="BM33" s="6"/>
      <c r="BN33" s="48"/>
      <c r="BO33" s="41"/>
      <c r="BP33" s="6"/>
      <c r="BQ33" s="48"/>
      <c r="BR33" s="41"/>
      <c r="BS33" s="6"/>
      <c r="BT33" s="48"/>
      <c r="BU33" s="41"/>
      <c r="BV33" s="36"/>
      <c r="BW33" s="39">
        <f t="shared" si="28"/>
        <v>1.152230143804461E-4</v>
      </c>
      <c r="BX33" s="6">
        <f t="shared" si="29"/>
        <v>5.1381401617250676E-3</v>
      </c>
      <c r="BY33" s="40">
        <f t="shared" si="30"/>
        <v>8.8518788058882889E-3</v>
      </c>
      <c r="BZ33" s="6">
        <f t="shared" si="31"/>
        <v>5.5279835732716269E-2</v>
      </c>
      <c r="CA33" s="6">
        <f t="shared" si="32"/>
        <v>0.86671234076546311</v>
      </c>
      <c r="CB33" s="41">
        <f t="shared" si="33"/>
        <v>0.89085630128972038</v>
      </c>
      <c r="CC33" s="36"/>
      <c r="CD33" s="35">
        <v>75.293999999999997</v>
      </c>
      <c r="CE33" s="36">
        <v>85.942999999999998</v>
      </c>
      <c r="CF33" s="37">
        <f t="shared" si="34"/>
        <v>161.23699999999999</v>
      </c>
      <c r="CG33" s="33">
        <f t="shared" si="35"/>
        <v>2180.6669999999999</v>
      </c>
      <c r="CH33" s="36">
        <v>5.4119999999999999</v>
      </c>
      <c r="CI33" s="36">
        <v>2.6930000000000001</v>
      </c>
      <c r="CJ33" s="37">
        <f t="shared" si="36"/>
        <v>2172.5619999999999</v>
      </c>
      <c r="CK33" s="36">
        <v>190.56100000000001</v>
      </c>
      <c r="CL33" s="36">
        <v>96.902000000000001</v>
      </c>
      <c r="CM33" s="37">
        <f t="shared" si="37"/>
        <v>287.46300000000002</v>
      </c>
      <c r="CN33" s="36">
        <v>3.383</v>
      </c>
      <c r="CO33" s="36">
        <v>0</v>
      </c>
      <c r="CP33" s="36">
        <v>4.8010000000000002</v>
      </c>
      <c r="CQ33" s="36">
        <v>4.0219999999998475</v>
      </c>
      <c r="CR33" s="37">
        <f t="shared" si="38"/>
        <v>2633.4679999999998</v>
      </c>
      <c r="CS33" s="36">
        <v>120.717</v>
      </c>
      <c r="CT33" s="33">
        <v>1855.165</v>
      </c>
      <c r="CU33" s="37">
        <f t="shared" si="39"/>
        <v>1975.8820000000001</v>
      </c>
      <c r="CV33" s="36">
        <v>301.89400000000001</v>
      </c>
      <c r="CW33" s="36">
        <v>14.609999999999786</v>
      </c>
      <c r="CX33" s="37">
        <f t="shared" si="40"/>
        <v>316.50399999999979</v>
      </c>
      <c r="CY33" s="36">
        <v>0</v>
      </c>
      <c r="CZ33" s="36">
        <v>341.08199999999999</v>
      </c>
      <c r="DA33" s="71">
        <f t="shared" si="41"/>
        <v>2633.4679999999998</v>
      </c>
      <c r="DB33" s="36"/>
      <c r="DC33" s="72">
        <v>360.68100000000004</v>
      </c>
      <c r="DD33" s="36"/>
      <c r="DE33" s="32">
        <v>105</v>
      </c>
      <c r="DF33" s="33">
        <v>105</v>
      </c>
      <c r="DG33" s="33">
        <v>210</v>
      </c>
      <c r="DH33" s="33">
        <v>0</v>
      </c>
      <c r="DI33" s="33">
        <v>0</v>
      </c>
      <c r="DJ33" s="33">
        <v>0</v>
      </c>
      <c r="DK33" s="34">
        <f t="shared" si="42"/>
        <v>420</v>
      </c>
      <c r="DL33" s="63">
        <f t="shared" si="43"/>
        <v>0.1594855149179713</v>
      </c>
      <c r="DM33" s="63">
        <f t="shared" si="44"/>
        <v>0.25107405899748925</v>
      </c>
      <c r="DN33" s="36"/>
      <c r="DO33" s="65" t="s">
        <v>167</v>
      </c>
      <c r="DP33" s="59">
        <v>14</v>
      </c>
      <c r="DQ33" s="59">
        <v>5302</v>
      </c>
      <c r="DR33" s="73">
        <v>2</v>
      </c>
      <c r="DS33" s="59" t="s">
        <v>163</v>
      </c>
      <c r="DT33" s="75" t="s">
        <v>164</v>
      </c>
      <c r="DU33" s="59"/>
      <c r="DV33" s="63" t="s">
        <v>172</v>
      </c>
      <c r="DW33" s="64"/>
      <c r="DX33" s="32">
        <v>259.73099999999999</v>
      </c>
      <c r="DY33" s="33">
        <v>259.73099999999999</v>
      </c>
      <c r="DZ33" s="34">
        <v>259.73099999999999</v>
      </c>
      <c r="EA33" s="33"/>
      <c r="EB33" s="65">
        <f t="shared" si="45"/>
        <v>1137.71</v>
      </c>
      <c r="EC33" s="33">
        <v>1102.434</v>
      </c>
      <c r="ED33" s="34">
        <v>1172.9860000000001</v>
      </c>
      <c r="EE33" s="33"/>
      <c r="EF33" s="32">
        <v>95.165999999999997</v>
      </c>
      <c r="EG33" s="33">
        <v>5.0739999999999998</v>
      </c>
      <c r="EH33" s="33">
        <v>36.695</v>
      </c>
      <c r="EI33" s="33">
        <v>21.756</v>
      </c>
      <c r="EJ33" s="33">
        <v>90.302000000000007</v>
      </c>
      <c r="EK33" s="33">
        <v>24.818999999999999</v>
      </c>
      <c r="EL33" s="33">
        <v>54.269000000000233</v>
      </c>
      <c r="EM33" s="34">
        <v>1811.549</v>
      </c>
      <c r="EN33" s="34">
        <f t="shared" si="46"/>
        <v>2139.63</v>
      </c>
      <c r="EO33" s="59"/>
      <c r="EP33" s="48">
        <f t="shared" si="47"/>
        <v>4.4477783542014267E-2</v>
      </c>
      <c r="EQ33" s="6">
        <f t="shared" si="47"/>
        <v>2.3714380523735409E-3</v>
      </c>
      <c r="ER33" s="6">
        <f t="shared" si="47"/>
        <v>1.7150161476516969E-2</v>
      </c>
      <c r="ES33" s="6">
        <f t="shared" si="47"/>
        <v>1.0168113178446741E-2</v>
      </c>
      <c r="ET33" s="6">
        <f t="shared" si="47"/>
        <v>4.2204493300243499E-2</v>
      </c>
      <c r="EU33" s="6">
        <f t="shared" si="47"/>
        <v>1.159966910166711E-2</v>
      </c>
      <c r="EV33" s="6">
        <f t="shared" si="47"/>
        <v>2.53637311123887E-2</v>
      </c>
      <c r="EW33" s="6">
        <f t="shared" ref="EW33:EW52" si="72">EM33/$EN33</f>
        <v>0.8466646102363492</v>
      </c>
      <c r="EX33" s="63">
        <f t="shared" si="48"/>
        <v>1</v>
      </c>
      <c r="EY33" s="59"/>
      <c r="EZ33" s="35">
        <v>0.38600000000000001</v>
      </c>
      <c r="FA33" s="36">
        <v>18.916999999999998</v>
      </c>
      <c r="FB33" s="71">
        <f t="shared" si="49"/>
        <v>19.302999999999997</v>
      </c>
      <c r="FD33" s="35">
        <f t="shared" si="50"/>
        <v>5.4119999999999999</v>
      </c>
      <c r="FE33" s="36">
        <f t="shared" si="50"/>
        <v>2.6930000000000001</v>
      </c>
      <c r="FF33" s="71">
        <f t="shared" si="51"/>
        <v>8.1050000000000004</v>
      </c>
      <c r="FH33" s="32">
        <f t="shared" si="52"/>
        <v>1890.011</v>
      </c>
      <c r="FI33" s="33">
        <f t="shared" si="53"/>
        <v>290.65599999999984</v>
      </c>
      <c r="FJ33" s="34">
        <f t="shared" si="54"/>
        <v>2180.6669999999999</v>
      </c>
      <c r="FL33" s="48">
        <v>0.86671234076546311</v>
      </c>
      <c r="FM33" s="6">
        <v>0.13328765923453689</v>
      </c>
      <c r="FN33" s="41">
        <f t="shared" si="55"/>
        <v>1</v>
      </c>
      <c r="FO33" s="59"/>
      <c r="FP33" s="65">
        <f t="shared" si="56"/>
        <v>326.5575</v>
      </c>
      <c r="FQ33" s="33">
        <v>312.03300000000002</v>
      </c>
      <c r="FR33" s="34">
        <f t="shared" si="57"/>
        <v>341.08199999999999</v>
      </c>
      <c r="FT33" s="65">
        <f t="shared" si="58"/>
        <v>2117.6324999999997</v>
      </c>
      <c r="FU33" s="33">
        <v>2054.598</v>
      </c>
      <c r="FV33" s="34">
        <f t="shared" si="59"/>
        <v>2180.6669999999999</v>
      </c>
      <c r="FX33" s="65">
        <f t="shared" si="60"/>
        <v>466.75750000000005</v>
      </c>
      <c r="FY33" s="33">
        <v>451.12400000000002</v>
      </c>
      <c r="FZ33" s="34">
        <f t="shared" si="61"/>
        <v>482.39100000000002</v>
      </c>
      <c r="GB33" s="65">
        <f t="shared" si="62"/>
        <v>2584.39</v>
      </c>
      <c r="GC33" s="59">
        <f t="shared" si="63"/>
        <v>2505.7219999999998</v>
      </c>
      <c r="GD33" s="73">
        <f t="shared" si="63"/>
        <v>2663.058</v>
      </c>
      <c r="GF33" s="65">
        <f t="shared" si="64"/>
        <v>1821.7055</v>
      </c>
      <c r="GG33" s="33">
        <v>1788.2460000000001</v>
      </c>
      <c r="GH33" s="34">
        <f t="shared" si="65"/>
        <v>1855.165</v>
      </c>
      <c r="GI33" s="33"/>
      <c r="GJ33" s="65">
        <f t="shared" si="66"/>
        <v>2558.1824999999999</v>
      </c>
      <c r="GK33" s="33">
        <v>2482.8969999999999</v>
      </c>
      <c r="GL33" s="34">
        <f t="shared" si="67"/>
        <v>2633.4679999999998</v>
      </c>
      <c r="GM33" s="33"/>
      <c r="GN33" s="76">
        <f t="shared" si="68"/>
        <v>0.44541494333707499</v>
      </c>
      <c r="GO33" s="67"/>
    </row>
    <row r="34" spans="2:198" s="1" customFormat="1" x14ac:dyDescent="0.2">
      <c r="B34" s="77" t="s">
        <v>203</v>
      </c>
      <c r="C34" s="32">
        <v>16434.169999999998</v>
      </c>
      <c r="D34" s="33">
        <v>15863.023999999998</v>
      </c>
      <c r="E34" s="33">
        <v>13301.341</v>
      </c>
      <c r="F34" s="33">
        <v>3827.75</v>
      </c>
      <c r="G34" s="33">
        <v>10548.427</v>
      </c>
      <c r="H34" s="33">
        <v>20261.919999999998</v>
      </c>
      <c r="I34" s="34">
        <v>17129.091</v>
      </c>
      <c r="J34" s="33"/>
      <c r="K34" s="35">
        <v>165.935</v>
      </c>
      <c r="L34" s="36">
        <v>23.368000000000002</v>
      </c>
      <c r="M34" s="36">
        <v>0</v>
      </c>
      <c r="N34" s="37">
        <f t="shared" si="0"/>
        <v>189.303</v>
      </c>
      <c r="O34" s="36">
        <v>79.183999999999997</v>
      </c>
      <c r="P34" s="37">
        <f t="shared" si="1"/>
        <v>110.119</v>
      </c>
      <c r="Q34" s="36">
        <v>10.729000000000001</v>
      </c>
      <c r="R34" s="37">
        <f t="shared" si="2"/>
        <v>99.39</v>
      </c>
      <c r="S34" s="36">
        <v>22.936</v>
      </c>
      <c r="T34" s="36">
        <v>-2.34</v>
      </c>
      <c r="U34" s="36">
        <v>-13.8</v>
      </c>
      <c r="V34" s="37">
        <f t="shared" si="3"/>
        <v>106.18599999999999</v>
      </c>
      <c r="W34" s="36">
        <v>19.872999999999998</v>
      </c>
      <c r="X34" s="38">
        <f t="shared" si="4"/>
        <v>86.312999999999988</v>
      </c>
      <c r="Y34" s="36"/>
      <c r="Z34" s="39">
        <f t="shared" si="5"/>
        <v>2.0920979505546992E-2</v>
      </c>
      <c r="AA34" s="40">
        <f t="shared" si="6"/>
        <v>2.9462226117794445E-3</v>
      </c>
      <c r="AB34" s="6">
        <f t="shared" si="7"/>
        <v>0.37724810504099587</v>
      </c>
      <c r="AC34" s="6">
        <f t="shared" si="8"/>
        <v>0.37308882910303948</v>
      </c>
      <c r="AD34" s="6">
        <f t="shared" si="9"/>
        <v>0.41829236726306501</v>
      </c>
      <c r="AE34" s="40">
        <f t="shared" si="10"/>
        <v>9.9834684736025119E-3</v>
      </c>
      <c r="AF34" s="40">
        <f t="shared" si="11"/>
        <v>1.0882288269878429E-2</v>
      </c>
      <c r="AG34" s="40">
        <f t="shared" si="12"/>
        <v>2.2878761753585133E-2</v>
      </c>
      <c r="AH34" s="40">
        <f t="shared" si="13"/>
        <v>3.4648284066361744E-2</v>
      </c>
      <c r="AI34" s="40">
        <f t="shared" si="14"/>
        <v>2.634504803087399E-2</v>
      </c>
      <c r="AJ34" s="41">
        <f t="shared" si="15"/>
        <v>9.3358257567788788E-2</v>
      </c>
      <c r="AK34" s="42"/>
      <c r="AL34" s="48">
        <f t="shared" si="16"/>
        <v>0.11271829248256381</v>
      </c>
      <c r="AM34" s="6">
        <f t="shared" si="17"/>
        <v>0.10277969309808685</v>
      </c>
      <c r="AN34" s="41">
        <f t="shared" si="18"/>
        <v>-6.1809855867634377E-4</v>
      </c>
      <c r="AO34" s="36"/>
      <c r="AP34" s="48">
        <f t="shared" si="19"/>
        <v>0.7930348526513229</v>
      </c>
      <c r="AQ34" s="6">
        <f t="shared" si="20"/>
        <v>0.7330256158732954</v>
      </c>
      <c r="AR34" s="6">
        <f t="shared" si="21"/>
        <v>7.9444717926125896E-2</v>
      </c>
      <c r="AS34" s="6">
        <f t="shared" si="22"/>
        <v>0.33343740511385733</v>
      </c>
      <c r="AT34" s="6">
        <f t="shared" si="23"/>
        <v>0.15432613877062243</v>
      </c>
      <c r="AU34" s="69">
        <v>3.72</v>
      </c>
      <c r="AV34" s="70">
        <v>1.3440000000000001</v>
      </c>
      <c r="AW34" s="36"/>
      <c r="AX34" s="48">
        <f t="shared" si="24"/>
        <v>0.11741919427631575</v>
      </c>
      <c r="AY34" s="6">
        <v>9.5000000000000001E-2</v>
      </c>
      <c r="AZ34" s="6">
        <f t="shared" si="25"/>
        <v>0.18697107041711339</v>
      </c>
      <c r="BA34" s="6">
        <f t="shared" si="26"/>
        <v>0.20034617313471773</v>
      </c>
      <c r="BB34" s="41">
        <f t="shared" si="27"/>
        <v>0.22200110134417234</v>
      </c>
      <c r="BC34" s="6"/>
      <c r="BD34" s="48">
        <v>0.186</v>
      </c>
      <c r="BE34" s="6">
        <v>0.20100000000000001</v>
      </c>
      <c r="BF34" s="41">
        <v>0.222</v>
      </c>
      <c r="BG34" s="6"/>
      <c r="BH34" s="48"/>
      <c r="BI34" s="41">
        <v>2.8000000000000001E-2</v>
      </c>
      <c r="BJ34" s="79"/>
      <c r="BK34" s="78"/>
      <c r="BL34" s="80"/>
      <c r="BM34" s="6"/>
      <c r="BN34" s="48"/>
      <c r="BO34" s="41">
        <f>BD34-(4.5%+2.5%+3%+2.5%+BI34)</f>
        <v>3.3000000000000002E-2</v>
      </c>
      <c r="BP34" s="6"/>
      <c r="BQ34" s="48"/>
      <c r="BR34" s="41">
        <f>BE34-(6%+2.5%+3%+2.5%+BI34)</f>
        <v>3.3000000000000029E-2</v>
      </c>
      <c r="BS34" s="6"/>
      <c r="BT34" s="48"/>
      <c r="BU34" s="41">
        <f t="shared" ref="BU34:BU40" si="73">BF34-(8%+2.5%+3%+2.5%+BI34)</f>
        <v>3.4000000000000002E-2</v>
      </c>
      <c r="BV34" s="36"/>
      <c r="BW34" s="39">
        <f t="shared" si="28"/>
        <v>1.6992897755900881E-3</v>
      </c>
      <c r="BX34" s="6">
        <f t="shared" si="29"/>
        <v>8.2079332899820223E-2</v>
      </c>
      <c r="BY34" s="40">
        <f t="shared" si="30"/>
        <v>1.1417946506295868E-2</v>
      </c>
      <c r="BZ34" s="6">
        <f t="shared" si="31"/>
        <v>7.7466024389397939E-2</v>
      </c>
      <c r="CA34" s="6">
        <f t="shared" si="32"/>
        <v>0.69600238051185959</v>
      </c>
      <c r="CB34" s="41">
        <f t="shared" si="33"/>
        <v>0.76393516737111145</v>
      </c>
      <c r="CC34" s="36"/>
      <c r="CD34" s="35">
        <v>78.346000000000004</v>
      </c>
      <c r="CE34" s="36">
        <v>783.63199999999995</v>
      </c>
      <c r="CF34" s="37">
        <f t="shared" si="34"/>
        <v>861.97799999999995</v>
      </c>
      <c r="CG34" s="33">
        <f t="shared" si="35"/>
        <v>13301.341</v>
      </c>
      <c r="CH34" s="36">
        <v>8.6039999999999992</v>
      </c>
      <c r="CI34" s="36">
        <v>22.232999999999997</v>
      </c>
      <c r="CJ34" s="37">
        <f t="shared" si="36"/>
        <v>13270.504000000001</v>
      </c>
      <c r="CK34" s="36">
        <v>1672.7070000000001</v>
      </c>
      <c r="CL34" s="36">
        <v>562.32500000000005</v>
      </c>
      <c r="CM34" s="37">
        <f t="shared" si="37"/>
        <v>2235.0320000000002</v>
      </c>
      <c r="CN34" s="36">
        <v>14.291</v>
      </c>
      <c r="CO34" s="36">
        <v>0</v>
      </c>
      <c r="CP34" s="36">
        <v>26.242000000000001</v>
      </c>
      <c r="CQ34" s="36">
        <v>26.122999999998132</v>
      </c>
      <c r="CR34" s="37">
        <f t="shared" si="38"/>
        <v>16434.169999999998</v>
      </c>
      <c r="CS34" s="36">
        <v>44.375</v>
      </c>
      <c r="CT34" s="33">
        <v>10548.427</v>
      </c>
      <c r="CU34" s="37">
        <f t="shared" si="39"/>
        <v>10592.802</v>
      </c>
      <c r="CV34" s="36">
        <v>3521.5169999999998</v>
      </c>
      <c r="CW34" s="36">
        <v>114.22599999999875</v>
      </c>
      <c r="CX34" s="37">
        <f t="shared" si="40"/>
        <v>3635.7429999999986</v>
      </c>
      <c r="CY34" s="36">
        <v>275.93799999999999</v>
      </c>
      <c r="CZ34" s="36">
        <v>1929.6869999999999</v>
      </c>
      <c r="DA34" s="71">
        <f t="shared" si="41"/>
        <v>16434.169999999998</v>
      </c>
      <c r="DB34" s="36"/>
      <c r="DC34" s="72">
        <v>2536.2219999999998</v>
      </c>
      <c r="DD34" s="36"/>
      <c r="DE34" s="32">
        <v>750</v>
      </c>
      <c r="DF34" s="33">
        <v>480</v>
      </c>
      <c r="DG34" s="33">
        <v>890</v>
      </c>
      <c r="DH34" s="33">
        <v>275</v>
      </c>
      <c r="DI34" s="33">
        <v>800</v>
      </c>
      <c r="DJ34" s="33">
        <v>600</v>
      </c>
      <c r="DK34" s="34">
        <f t="shared" si="42"/>
        <v>3795</v>
      </c>
      <c r="DL34" s="63">
        <f t="shared" si="43"/>
        <v>0.23092130603492603</v>
      </c>
      <c r="DM34" s="63">
        <f t="shared" si="44"/>
        <v>0.34737835862717742</v>
      </c>
      <c r="DN34" s="36"/>
      <c r="DO34" s="65" t="s">
        <v>187</v>
      </c>
      <c r="DP34" s="59">
        <v>73.400000000000006</v>
      </c>
      <c r="DQ34" s="59">
        <v>28365</v>
      </c>
      <c r="DR34" s="73">
        <v>4</v>
      </c>
      <c r="DS34" s="59" t="s">
        <v>163</v>
      </c>
      <c r="DT34" s="75" t="s">
        <v>164</v>
      </c>
      <c r="DU34" s="62" t="s">
        <v>170</v>
      </c>
      <c r="DV34" s="63">
        <v>0.19110291400125254</v>
      </c>
      <c r="DW34" s="64"/>
      <c r="DX34" s="32">
        <v>1467.799</v>
      </c>
      <c r="DY34" s="33">
        <v>1572.799</v>
      </c>
      <c r="DZ34" s="34">
        <v>1742.799</v>
      </c>
      <c r="EA34" s="33"/>
      <c r="EB34" s="65">
        <f t="shared" si="45"/>
        <v>7545.2510000000002</v>
      </c>
      <c r="EC34" s="33">
        <v>7240.0950000000003</v>
      </c>
      <c r="ED34" s="34">
        <v>7850.4070000000002</v>
      </c>
      <c r="EE34" s="33"/>
      <c r="EF34" s="32">
        <v>243.71600000000001</v>
      </c>
      <c r="EG34" s="33">
        <v>18.576000000000001</v>
      </c>
      <c r="EH34" s="33">
        <v>706.65899999999999</v>
      </c>
      <c r="EI34" s="33">
        <v>57.692999999999998</v>
      </c>
      <c r="EJ34" s="33">
        <v>2219.8009999999999</v>
      </c>
      <c r="EK34" s="33">
        <v>18.132999999999999</v>
      </c>
      <c r="EL34" s="33">
        <v>244.39900000000125</v>
      </c>
      <c r="EM34" s="34">
        <v>8962.9920000000002</v>
      </c>
      <c r="EN34" s="34">
        <f t="shared" si="46"/>
        <v>12471.969000000001</v>
      </c>
      <c r="EO34" s="59"/>
      <c r="EP34" s="48">
        <f t="shared" ref="EP34:EV52" si="74">EF34/$EN34</f>
        <v>1.9541100527110031E-2</v>
      </c>
      <c r="EQ34" s="6">
        <f t="shared" si="74"/>
        <v>1.489419994549377E-3</v>
      </c>
      <c r="ER34" s="6">
        <f t="shared" si="74"/>
        <v>5.6659778419911079E-2</v>
      </c>
      <c r="ES34" s="6">
        <f t="shared" si="74"/>
        <v>4.6258132937950693E-3</v>
      </c>
      <c r="ET34" s="6">
        <f t="shared" si="74"/>
        <v>0.1779832037748009</v>
      </c>
      <c r="EU34" s="6">
        <f t="shared" si="74"/>
        <v>1.4539003424399145E-3</v>
      </c>
      <c r="EV34" s="6">
        <f t="shared" si="74"/>
        <v>1.9595863331603954E-2</v>
      </c>
      <c r="EW34" s="6">
        <f t="shared" si="72"/>
        <v>0.7186509203157897</v>
      </c>
      <c r="EX34" s="63">
        <f t="shared" si="48"/>
        <v>1</v>
      </c>
      <c r="EY34" s="59"/>
      <c r="EZ34" s="35">
        <v>35.772999999999996</v>
      </c>
      <c r="FA34" s="36">
        <v>116.101</v>
      </c>
      <c r="FB34" s="71">
        <f t="shared" si="49"/>
        <v>151.874</v>
      </c>
      <c r="FD34" s="35">
        <f t="shared" ref="FD34:FE52" si="75">CH34</f>
        <v>8.6039999999999992</v>
      </c>
      <c r="FE34" s="36">
        <f t="shared" si="75"/>
        <v>22.232999999999997</v>
      </c>
      <c r="FF34" s="71">
        <f t="shared" si="51"/>
        <v>30.836999999999996</v>
      </c>
      <c r="FH34" s="32">
        <f t="shared" si="52"/>
        <v>9257.7649999999994</v>
      </c>
      <c r="FI34" s="33">
        <f t="shared" si="53"/>
        <v>4043.5760000000014</v>
      </c>
      <c r="FJ34" s="34">
        <f t="shared" si="54"/>
        <v>13301.341</v>
      </c>
      <c r="FL34" s="48">
        <v>0.69600238051185959</v>
      </c>
      <c r="FM34" s="6">
        <v>0.30399761948814041</v>
      </c>
      <c r="FN34" s="41">
        <f t="shared" si="55"/>
        <v>1</v>
      </c>
      <c r="FO34" s="59"/>
      <c r="FP34" s="65">
        <f t="shared" si="56"/>
        <v>1849.0704999999998</v>
      </c>
      <c r="FQ34" s="33">
        <v>1768.454</v>
      </c>
      <c r="FR34" s="34">
        <f t="shared" si="57"/>
        <v>1929.6869999999999</v>
      </c>
      <c r="FT34" s="65">
        <f t="shared" si="58"/>
        <v>12627.628500000001</v>
      </c>
      <c r="FU34" s="33">
        <v>11953.916000000001</v>
      </c>
      <c r="FV34" s="34">
        <f t="shared" si="59"/>
        <v>13301.341</v>
      </c>
      <c r="FX34" s="65">
        <f t="shared" si="60"/>
        <v>3703.2420000000002</v>
      </c>
      <c r="FY34" s="33">
        <v>3578.7339999999999</v>
      </c>
      <c r="FZ34" s="34">
        <f t="shared" si="61"/>
        <v>3827.75</v>
      </c>
      <c r="GB34" s="65">
        <f t="shared" si="62"/>
        <v>16330.870500000001</v>
      </c>
      <c r="GC34" s="59">
        <f t="shared" ref="GC34:GD52" si="76">FU34+FY34</f>
        <v>15532.650000000001</v>
      </c>
      <c r="GD34" s="73">
        <f t="shared" si="76"/>
        <v>17129.091</v>
      </c>
      <c r="GF34" s="65">
        <f t="shared" si="64"/>
        <v>10551.688999999998</v>
      </c>
      <c r="GG34" s="33">
        <v>10554.950999999999</v>
      </c>
      <c r="GH34" s="34">
        <f t="shared" si="65"/>
        <v>10548.427</v>
      </c>
      <c r="GI34" s="33"/>
      <c r="GJ34" s="65">
        <f t="shared" si="66"/>
        <v>15863.023999999998</v>
      </c>
      <c r="GK34" s="33">
        <v>15291.877999999999</v>
      </c>
      <c r="GL34" s="34">
        <f t="shared" si="67"/>
        <v>16434.169999999998</v>
      </c>
      <c r="GM34" s="33"/>
      <c r="GN34" s="76">
        <f t="shared" si="68"/>
        <v>0.47768807308187766</v>
      </c>
      <c r="GO34" s="67"/>
    </row>
    <row r="35" spans="2:198" s="1" customFormat="1" ht="13.5" customHeight="1" x14ac:dyDescent="0.2">
      <c r="B35" s="77" t="s">
        <v>204</v>
      </c>
      <c r="C35" s="32">
        <v>6965.32</v>
      </c>
      <c r="D35" s="33">
        <v>6874.5560000000005</v>
      </c>
      <c r="E35" s="33">
        <v>5584.2139999999999</v>
      </c>
      <c r="F35" s="33">
        <v>1887.8889999999999</v>
      </c>
      <c r="G35" s="33">
        <v>4860.9939999999997</v>
      </c>
      <c r="H35" s="33">
        <v>8853.2089999999989</v>
      </c>
      <c r="I35" s="34">
        <v>7472.1030000000001</v>
      </c>
      <c r="J35" s="33"/>
      <c r="K35" s="35">
        <v>83.972999999999999</v>
      </c>
      <c r="L35" s="36">
        <v>16.515999999999998</v>
      </c>
      <c r="M35" s="36">
        <v>5.6000000000000001E-2</v>
      </c>
      <c r="N35" s="37">
        <f t="shared" si="0"/>
        <v>100.545</v>
      </c>
      <c r="O35" s="36">
        <v>47.575000000000003</v>
      </c>
      <c r="P35" s="37">
        <f t="shared" si="1"/>
        <v>52.97</v>
      </c>
      <c r="Q35" s="36">
        <v>3.218</v>
      </c>
      <c r="R35" s="37">
        <f t="shared" si="2"/>
        <v>49.751999999999995</v>
      </c>
      <c r="S35" s="36">
        <v>10.975</v>
      </c>
      <c r="T35" s="36">
        <v>-1.091</v>
      </c>
      <c r="U35" s="36">
        <v>-4.5529999999999999</v>
      </c>
      <c r="V35" s="37">
        <f t="shared" si="3"/>
        <v>55.082999999999998</v>
      </c>
      <c r="W35" s="36">
        <v>11.356</v>
      </c>
      <c r="X35" s="38">
        <f t="shared" si="4"/>
        <v>43.726999999999997</v>
      </c>
      <c r="Y35" s="36"/>
      <c r="Z35" s="39">
        <f t="shared" si="5"/>
        <v>2.4430086830334933E-2</v>
      </c>
      <c r="AA35" s="40">
        <f t="shared" si="6"/>
        <v>4.8049648588214273E-3</v>
      </c>
      <c r="AB35" s="6">
        <f t="shared" si="7"/>
        <v>0.43081980276920012</v>
      </c>
      <c r="AC35" s="6">
        <f t="shared" si="8"/>
        <v>0.42660509325681495</v>
      </c>
      <c r="AD35" s="6">
        <f t="shared" si="9"/>
        <v>0.47317121686806907</v>
      </c>
      <c r="AE35" s="40">
        <f t="shared" si="10"/>
        <v>1.3840893870091391E-2</v>
      </c>
      <c r="AF35" s="40">
        <f t="shared" si="11"/>
        <v>1.2721403389542538E-2</v>
      </c>
      <c r="AG35" s="40">
        <f t="shared" si="12"/>
        <v>2.5500911809079367E-2</v>
      </c>
      <c r="AH35" s="40">
        <f t="shared" si="13"/>
        <v>3.6655483130511458E-2</v>
      </c>
      <c r="AI35" s="40">
        <f t="shared" si="14"/>
        <v>2.901459885940761E-2</v>
      </c>
      <c r="AJ35" s="41">
        <f t="shared" si="15"/>
        <v>0.10983399435847069</v>
      </c>
      <c r="AK35" s="42"/>
      <c r="AL35" s="48">
        <f t="shared" si="16"/>
        <v>4.1002184517561968E-3</v>
      </c>
      <c r="AM35" s="6">
        <f t="shared" si="17"/>
        <v>8.9689241314979875E-3</v>
      </c>
      <c r="AN35" s="41">
        <f t="shared" si="18"/>
        <v>-1.749154225114976E-2</v>
      </c>
      <c r="AO35" s="36"/>
      <c r="AP35" s="48">
        <f t="shared" si="19"/>
        <v>0.87048848772629406</v>
      </c>
      <c r="AQ35" s="6">
        <f t="shared" si="20"/>
        <v>0.80094149050106289</v>
      </c>
      <c r="AR35" s="6">
        <f t="shared" si="21"/>
        <v>4.1107371951324551E-2</v>
      </c>
      <c r="AS35" s="6">
        <f t="shared" si="22"/>
        <v>0.29239352965836463</v>
      </c>
      <c r="AT35" s="6">
        <f t="shared" si="23"/>
        <v>0.13233849988227392</v>
      </c>
      <c r="AU35" s="69">
        <v>2.34</v>
      </c>
      <c r="AV35" s="70">
        <v>1.35</v>
      </c>
      <c r="AW35" s="36"/>
      <c r="AX35" s="48">
        <f t="shared" si="24"/>
        <v>0.11981100652949184</v>
      </c>
      <c r="AY35" s="6">
        <v>9.2699999999999991E-2</v>
      </c>
      <c r="AZ35" s="6">
        <f t="shared" si="25"/>
        <v>0.16915908446079334</v>
      </c>
      <c r="BA35" s="6">
        <f t="shared" si="26"/>
        <v>0.189</v>
      </c>
      <c r="BB35" s="41">
        <f t="shared" si="27"/>
        <v>0.20180000000000001</v>
      </c>
      <c r="BC35" s="6"/>
      <c r="BD35" s="48">
        <v>0.1726</v>
      </c>
      <c r="BE35" s="6">
        <v>0.1923</v>
      </c>
      <c r="BF35" s="41">
        <v>0.20660000000000001</v>
      </c>
      <c r="BG35" s="6"/>
      <c r="BH35" s="48"/>
      <c r="BI35" s="41">
        <v>2.1000000000000001E-2</v>
      </c>
      <c r="BJ35" s="48"/>
      <c r="BK35" s="41"/>
      <c r="BL35" s="63"/>
      <c r="BM35" s="6"/>
      <c r="BN35" s="48"/>
      <c r="BO35" s="41">
        <f>BD35-(4.5%+2.5%+3%+2.5%+BI35)</f>
        <v>2.6600000000000013E-2</v>
      </c>
      <c r="BP35" s="6"/>
      <c r="BQ35" s="48"/>
      <c r="BR35" s="41">
        <f>BE35-(6%+2.5%+3%+2.5%+BI35)</f>
        <v>3.1300000000000022E-2</v>
      </c>
      <c r="BS35" s="6"/>
      <c r="BT35" s="48"/>
      <c r="BU35" s="41">
        <f t="shared" si="73"/>
        <v>2.5600000000000012E-2</v>
      </c>
      <c r="BV35" s="36"/>
      <c r="BW35" s="39">
        <f t="shared" si="28"/>
        <v>1.1548926148152302E-3</v>
      </c>
      <c r="BX35" s="6">
        <f t="shared" si="29"/>
        <v>5.1198014446176852E-2</v>
      </c>
      <c r="BY35" s="40">
        <f t="shared" si="30"/>
        <v>1.8121798340822899E-2</v>
      </c>
      <c r="BZ35" s="6">
        <f t="shared" si="31"/>
        <v>0.11600336560616446</v>
      </c>
      <c r="CA35" s="6">
        <f t="shared" si="32"/>
        <v>0.68527209021717295</v>
      </c>
      <c r="CB35" s="41">
        <f t="shared" si="33"/>
        <v>0.76479071554554323</v>
      </c>
      <c r="CC35" s="36"/>
      <c r="CD35" s="35">
        <v>87.727000000000004</v>
      </c>
      <c r="CE35" s="36">
        <v>223.24700000000001</v>
      </c>
      <c r="CF35" s="37">
        <f t="shared" si="34"/>
        <v>310.97400000000005</v>
      </c>
      <c r="CG35" s="33">
        <f t="shared" si="35"/>
        <v>5584.2139999999999</v>
      </c>
      <c r="CH35" s="36">
        <v>26.312000000000001</v>
      </c>
      <c r="CI35" s="36">
        <v>11.520000000000001</v>
      </c>
      <c r="CJ35" s="37">
        <f t="shared" si="36"/>
        <v>5546.3819999999996</v>
      </c>
      <c r="CK35" s="36">
        <v>610.80600000000004</v>
      </c>
      <c r="CL35" s="36">
        <v>420.73500000000001</v>
      </c>
      <c r="CM35" s="37">
        <f t="shared" si="37"/>
        <v>1031.5410000000002</v>
      </c>
      <c r="CN35" s="36">
        <v>0</v>
      </c>
      <c r="CO35" s="36">
        <v>0</v>
      </c>
      <c r="CP35" s="36">
        <v>42.203000000000003</v>
      </c>
      <c r="CQ35" s="36">
        <v>34.219999999999771</v>
      </c>
      <c r="CR35" s="37">
        <f t="shared" si="38"/>
        <v>6965.32</v>
      </c>
      <c r="CS35" s="36">
        <v>50.350999999999999</v>
      </c>
      <c r="CT35" s="33">
        <v>4860.9939999999997</v>
      </c>
      <c r="CU35" s="37">
        <f t="shared" si="39"/>
        <v>4911.3449999999993</v>
      </c>
      <c r="CV35" s="36">
        <v>1042.319</v>
      </c>
      <c r="CW35" s="36">
        <v>61.69800000000032</v>
      </c>
      <c r="CX35" s="37">
        <f t="shared" si="40"/>
        <v>1104.0170000000003</v>
      </c>
      <c r="CY35" s="36">
        <v>115.43600000000001</v>
      </c>
      <c r="CZ35" s="36">
        <v>834.52200000000005</v>
      </c>
      <c r="DA35" s="71">
        <f t="shared" si="41"/>
        <v>6965.3199999999988</v>
      </c>
      <c r="DB35" s="36"/>
      <c r="DC35" s="72">
        <v>921.78000000000009</v>
      </c>
      <c r="DD35" s="36"/>
      <c r="DE35" s="32">
        <v>140</v>
      </c>
      <c r="DF35" s="33">
        <v>350</v>
      </c>
      <c r="DG35" s="33">
        <v>200</v>
      </c>
      <c r="DH35" s="33">
        <v>275</v>
      </c>
      <c r="DI35" s="33">
        <v>115</v>
      </c>
      <c r="DJ35" s="33">
        <v>125</v>
      </c>
      <c r="DK35" s="34">
        <f t="shared" si="42"/>
        <v>1205</v>
      </c>
      <c r="DL35" s="63">
        <f t="shared" si="43"/>
        <v>0.17299994831536813</v>
      </c>
      <c r="DM35" s="63">
        <f t="shared" si="44"/>
        <v>0.30852057048348103</v>
      </c>
      <c r="DN35" s="36"/>
      <c r="DO35" s="65" t="s">
        <v>178</v>
      </c>
      <c r="DP35" s="59">
        <v>48</v>
      </c>
      <c r="DQ35" s="59">
        <v>14632</v>
      </c>
      <c r="DR35" s="73">
        <v>3</v>
      </c>
      <c r="DS35" s="59" t="s">
        <v>163</v>
      </c>
      <c r="DT35" s="75" t="s">
        <v>164</v>
      </c>
      <c r="DU35" s="62" t="s">
        <v>170</v>
      </c>
      <c r="DV35" s="63">
        <v>0.30745190428716596</v>
      </c>
      <c r="DW35" s="64"/>
      <c r="DX35" s="32">
        <v>596.80390699999998</v>
      </c>
      <c r="DY35" s="33">
        <v>666.80390699999998</v>
      </c>
      <c r="DZ35" s="34">
        <v>711.9631134</v>
      </c>
      <c r="EA35" s="33"/>
      <c r="EB35" s="65">
        <f t="shared" si="45"/>
        <v>3429.4459999999999</v>
      </c>
      <c r="EC35" s="33">
        <v>3330.8290000000002</v>
      </c>
      <c r="ED35" s="34">
        <v>3528.0630000000001</v>
      </c>
      <c r="EE35" s="33"/>
      <c r="EF35" s="32">
        <v>494.601</v>
      </c>
      <c r="EG35" s="33">
        <v>164.55199999999999</v>
      </c>
      <c r="EH35" s="33">
        <v>230.91399999999999</v>
      </c>
      <c r="EI35" s="33">
        <v>59.283000000000001</v>
      </c>
      <c r="EJ35" s="33">
        <v>674.75099999999998</v>
      </c>
      <c r="EK35" s="33">
        <v>44.658999999999999</v>
      </c>
      <c r="EL35" s="33">
        <v>61.820999999999913</v>
      </c>
      <c r="EM35" s="34">
        <v>3841.556</v>
      </c>
      <c r="EN35" s="34">
        <f t="shared" si="46"/>
        <v>5572.1370000000006</v>
      </c>
      <c r="EO35" s="59"/>
      <c r="EP35" s="48">
        <f t="shared" si="74"/>
        <v>8.8763251872665719E-2</v>
      </c>
      <c r="EQ35" s="6">
        <f t="shared" si="74"/>
        <v>2.9531219350852282E-2</v>
      </c>
      <c r="ER35" s="6">
        <f t="shared" si="74"/>
        <v>4.1440833202773003E-2</v>
      </c>
      <c r="ES35" s="6">
        <f t="shared" si="74"/>
        <v>1.0639185648163352E-2</v>
      </c>
      <c r="ET35" s="6">
        <f t="shared" si="74"/>
        <v>0.12109375630929388</v>
      </c>
      <c r="EU35" s="6">
        <f t="shared" si="74"/>
        <v>8.0146988489335404E-3</v>
      </c>
      <c r="EV35" s="6">
        <f t="shared" si="74"/>
        <v>1.1094666193598597E-2</v>
      </c>
      <c r="EW35" s="6">
        <f t="shared" si="72"/>
        <v>0.68942238857371951</v>
      </c>
      <c r="EX35" s="63">
        <f t="shared" si="48"/>
        <v>0.99999999999999989</v>
      </c>
      <c r="EY35" s="59"/>
      <c r="EZ35" s="35">
        <v>26.369</v>
      </c>
      <c r="FA35" s="36">
        <v>74.826999999999998</v>
      </c>
      <c r="FB35" s="71">
        <f t="shared" si="49"/>
        <v>101.196</v>
      </c>
      <c r="FD35" s="35">
        <f t="shared" si="75"/>
        <v>26.312000000000001</v>
      </c>
      <c r="FE35" s="36">
        <f t="shared" si="75"/>
        <v>11.520000000000001</v>
      </c>
      <c r="FF35" s="71">
        <f t="shared" si="51"/>
        <v>37.832000000000001</v>
      </c>
      <c r="FH35" s="32">
        <f t="shared" si="52"/>
        <v>3826.7060000000001</v>
      </c>
      <c r="FI35" s="33">
        <f t="shared" si="53"/>
        <v>1757.5079999999998</v>
      </c>
      <c r="FJ35" s="34">
        <f t="shared" si="54"/>
        <v>5584.2139999999999</v>
      </c>
      <c r="FL35" s="48">
        <v>0.68527209021717295</v>
      </c>
      <c r="FM35" s="6">
        <v>0.31472790978282705</v>
      </c>
      <c r="FN35" s="41">
        <f t="shared" si="55"/>
        <v>1</v>
      </c>
      <c r="FO35" s="59"/>
      <c r="FP35" s="65">
        <f t="shared" si="56"/>
        <v>796.23800000000006</v>
      </c>
      <c r="FQ35" s="33">
        <v>757.95399999999995</v>
      </c>
      <c r="FR35" s="34">
        <f t="shared" si="57"/>
        <v>834.52200000000005</v>
      </c>
      <c r="FT35" s="65">
        <f t="shared" si="58"/>
        <v>5572.8125</v>
      </c>
      <c r="FU35" s="33">
        <v>5561.4110000000001</v>
      </c>
      <c r="FV35" s="34">
        <f t="shared" si="59"/>
        <v>5584.2139999999999</v>
      </c>
      <c r="FX35" s="65">
        <f t="shared" si="60"/>
        <v>1866.08</v>
      </c>
      <c r="FY35" s="33">
        <v>1844.271</v>
      </c>
      <c r="FZ35" s="34">
        <f t="shared" si="61"/>
        <v>1887.8889999999999</v>
      </c>
      <c r="GB35" s="65">
        <f t="shared" si="62"/>
        <v>7438.8924999999999</v>
      </c>
      <c r="GC35" s="59">
        <f t="shared" si="76"/>
        <v>7405.6819999999998</v>
      </c>
      <c r="GD35" s="73">
        <f t="shared" si="76"/>
        <v>7472.1030000000001</v>
      </c>
      <c r="GF35" s="65">
        <f t="shared" si="64"/>
        <v>4904.2639999999992</v>
      </c>
      <c r="GG35" s="33">
        <v>4947.5339999999997</v>
      </c>
      <c r="GH35" s="34">
        <f t="shared" si="65"/>
        <v>4860.9939999999997</v>
      </c>
      <c r="GI35" s="33"/>
      <c r="GJ35" s="65">
        <f t="shared" si="66"/>
        <v>6874.5560000000005</v>
      </c>
      <c r="GK35" s="33">
        <v>6783.7920000000004</v>
      </c>
      <c r="GL35" s="34">
        <f t="shared" si="67"/>
        <v>6965.32</v>
      </c>
      <c r="GM35" s="33"/>
      <c r="GN35" s="76">
        <f t="shared" si="68"/>
        <v>0.5065184370567325</v>
      </c>
      <c r="GO35" s="67"/>
    </row>
    <row r="36" spans="2:198" s="1" customFormat="1" ht="13.5" customHeight="1" x14ac:dyDescent="0.2">
      <c r="B36" s="77" t="s">
        <v>205</v>
      </c>
      <c r="C36" s="32">
        <v>8411.0190000000002</v>
      </c>
      <c r="D36" s="33">
        <v>8039.1970000000001</v>
      </c>
      <c r="E36" s="33">
        <v>7133.5230000000001</v>
      </c>
      <c r="F36" s="33">
        <v>1672.828</v>
      </c>
      <c r="G36" s="33">
        <v>5752.567</v>
      </c>
      <c r="H36" s="33">
        <v>10083.847</v>
      </c>
      <c r="I36" s="34">
        <v>8806.3510000000006</v>
      </c>
      <c r="J36" s="33"/>
      <c r="K36" s="35">
        <v>91.445999999999998</v>
      </c>
      <c r="L36" s="36">
        <v>18.908000000000001</v>
      </c>
      <c r="M36" s="36">
        <v>0.36499999999999999</v>
      </c>
      <c r="N36" s="37">
        <f t="shared" si="0"/>
        <v>110.71899999999999</v>
      </c>
      <c r="O36" s="36">
        <v>44.975000000000001</v>
      </c>
      <c r="P36" s="37">
        <f t="shared" si="1"/>
        <v>65.744</v>
      </c>
      <c r="Q36" s="36">
        <v>0.71700000000000008</v>
      </c>
      <c r="R36" s="37">
        <f t="shared" si="2"/>
        <v>65.027000000000001</v>
      </c>
      <c r="S36" s="36">
        <v>12.045</v>
      </c>
      <c r="T36" s="36">
        <v>3.3519999999999999</v>
      </c>
      <c r="U36" s="36">
        <v>-5.6609999999999996</v>
      </c>
      <c r="V36" s="37">
        <f t="shared" si="3"/>
        <v>74.763000000000005</v>
      </c>
      <c r="W36" s="36">
        <v>15.692</v>
      </c>
      <c r="X36" s="38">
        <f t="shared" si="4"/>
        <v>59.071000000000005</v>
      </c>
      <c r="Y36" s="36"/>
      <c r="Z36" s="39">
        <f t="shared" si="5"/>
        <v>2.2750033367760485E-2</v>
      </c>
      <c r="AA36" s="40">
        <f t="shared" si="6"/>
        <v>4.703952397235694E-3</v>
      </c>
      <c r="AB36" s="6">
        <f t="shared" si="7"/>
        <v>0.3566161311808177</v>
      </c>
      <c r="AC36" s="6">
        <f t="shared" si="8"/>
        <v>0.36635332833729761</v>
      </c>
      <c r="AD36" s="6">
        <f t="shared" si="9"/>
        <v>0.40620850983119433</v>
      </c>
      <c r="AE36" s="40">
        <f t="shared" si="10"/>
        <v>1.1188928446460512E-2</v>
      </c>
      <c r="AF36" s="40">
        <f t="shared" si="11"/>
        <v>1.4695746353771404E-2</v>
      </c>
      <c r="AG36" s="40">
        <f t="shared" si="12"/>
        <v>2.8720784681146104E-2</v>
      </c>
      <c r="AH36" s="40">
        <f t="shared" si="13"/>
        <v>3.94513922197504E-2</v>
      </c>
      <c r="AI36" s="40">
        <f t="shared" si="14"/>
        <v>3.1616638713766271E-2</v>
      </c>
      <c r="AJ36" s="41">
        <f t="shared" si="15"/>
        <v>0.12223124634652292</v>
      </c>
      <c r="AK36" s="42"/>
      <c r="AL36" s="48">
        <f t="shared" si="16"/>
        <v>8.4091886198301796E-2</v>
      </c>
      <c r="AM36" s="6">
        <f t="shared" si="17"/>
        <v>6.5166453746694039E-2</v>
      </c>
      <c r="AN36" s="41">
        <f t="shared" si="18"/>
        <v>5.3129465221502532E-2</v>
      </c>
      <c r="AO36" s="36"/>
      <c r="AP36" s="48">
        <f t="shared" si="19"/>
        <v>0.80641318462139955</v>
      </c>
      <c r="AQ36" s="6">
        <f t="shared" si="20"/>
        <v>0.78521224712092186</v>
      </c>
      <c r="AR36" s="6">
        <f t="shared" si="21"/>
        <v>7.3450672266939368E-2</v>
      </c>
      <c r="AS36" s="6">
        <f t="shared" si="22"/>
        <v>0.26980155436576708</v>
      </c>
      <c r="AT36" s="6">
        <f t="shared" si="23"/>
        <v>0.11363284282201716</v>
      </c>
      <c r="AU36" s="69">
        <v>1.3591</v>
      </c>
      <c r="AV36" s="70">
        <v>1.33</v>
      </c>
      <c r="AW36" s="36"/>
      <c r="AX36" s="48">
        <f t="shared" si="24"/>
        <v>0.12186145341010406</v>
      </c>
      <c r="AY36" s="6">
        <v>0.1007</v>
      </c>
      <c r="AZ36" s="6">
        <f t="shared" si="25"/>
        <v>0.18559778242628652</v>
      </c>
      <c r="BA36" s="6">
        <f t="shared" si="26"/>
        <v>0.19969999999999999</v>
      </c>
      <c r="BB36" s="41">
        <f t="shared" si="27"/>
        <v>0.21850000000000003</v>
      </c>
      <c r="BC36" s="6"/>
      <c r="BD36" s="48">
        <v>0.18329999999999999</v>
      </c>
      <c r="BE36" s="6">
        <v>0.19820000000000002</v>
      </c>
      <c r="BF36" s="41">
        <v>0.21729999999999999</v>
      </c>
      <c r="BG36" s="6"/>
      <c r="BH36" s="48"/>
      <c r="BI36" s="78">
        <v>2.8000000000000001E-2</v>
      </c>
      <c r="BJ36" s="79">
        <f>BI36*56.25%</f>
        <v>1.575E-2</v>
      </c>
      <c r="BK36" s="78">
        <f>BI36*75%</f>
        <v>2.1000000000000001E-2</v>
      </c>
      <c r="BL36" s="82">
        <v>1.2500000000000001E-2</v>
      </c>
      <c r="BM36" s="6"/>
      <c r="BN36" s="48"/>
      <c r="BO36" s="78">
        <f>BD36-(4.5%+2.5%+3%+2.5%+BJ36)</f>
        <v>4.2550000000000004E-2</v>
      </c>
      <c r="BP36" s="6"/>
      <c r="BQ36" s="48"/>
      <c r="BR36" s="78">
        <f>BE36-(6%+2.5%+3%+2.5%+BK36)</f>
        <v>3.7200000000000039E-2</v>
      </c>
      <c r="BS36" s="6"/>
      <c r="BT36" s="48"/>
      <c r="BU36" s="41">
        <f t="shared" si="73"/>
        <v>2.9299999999999993E-2</v>
      </c>
      <c r="BV36" s="36"/>
      <c r="BW36" s="39">
        <f t="shared" si="28"/>
        <v>2.0913384026170607E-4</v>
      </c>
      <c r="BX36" s="6">
        <f t="shared" si="29"/>
        <v>8.8364698487817511E-3</v>
      </c>
      <c r="BY36" s="40">
        <f t="shared" si="30"/>
        <v>9.5841844205170439E-3</v>
      </c>
      <c r="BZ36" s="6">
        <f t="shared" si="31"/>
        <v>6.3621677656618442E-2</v>
      </c>
      <c r="CA36" s="6">
        <f t="shared" si="32"/>
        <v>0.71370541596347281</v>
      </c>
      <c r="CB36" s="41">
        <f t="shared" si="33"/>
        <v>0.76808907571365248</v>
      </c>
      <c r="CC36" s="36"/>
      <c r="CD36" s="35">
        <v>10.86</v>
      </c>
      <c r="CE36" s="36">
        <v>101.779</v>
      </c>
      <c r="CF36" s="37">
        <f t="shared" si="34"/>
        <v>112.639</v>
      </c>
      <c r="CG36" s="33">
        <f t="shared" si="35"/>
        <v>7133.5230000000001</v>
      </c>
      <c r="CH36" s="36">
        <v>35.377000000000002</v>
      </c>
      <c r="CI36" s="36">
        <v>14.262</v>
      </c>
      <c r="CJ36" s="37">
        <f t="shared" si="36"/>
        <v>7083.884</v>
      </c>
      <c r="CK36" s="36">
        <v>841.61400000000003</v>
      </c>
      <c r="CL36" s="36">
        <v>334.53100000000001</v>
      </c>
      <c r="CM36" s="37">
        <f t="shared" si="37"/>
        <v>1176.145</v>
      </c>
      <c r="CN36" s="36">
        <v>10.148999999999999</v>
      </c>
      <c r="CO36" s="36">
        <v>0</v>
      </c>
      <c r="CP36" s="36">
        <v>20.832999999999998</v>
      </c>
      <c r="CQ36" s="36">
        <v>7.369000000001023</v>
      </c>
      <c r="CR36" s="37">
        <f t="shared" si="38"/>
        <v>8411.0190000000002</v>
      </c>
      <c r="CS36" s="36">
        <v>100.68</v>
      </c>
      <c r="CT36" s="33">
        <v>5752.567</v>
      </c>
      <c r="CU36" s="37">
        <f t="shared" si="39"/>
        <v>5853.2470000000003</v>
      </c>
      <c r="CV36" s="36">
        <v>1332.212</v>
      </c>
      <c r="CW36" s="36">
        <v>59.909999999999854</v>
      </c>
      <c r="CX36" s="37">
        <f t="shared" si="40"/>
        <v>1392.1219999999998</v>
      </c>
      <c r="CY36" s="36">
        <v>140.67099999999999</v>
      </c>
      <c r="CZ36" s="36">
        <v>1024.979</v>
      </c>
      <c r="DA36" s="71">
        <f t="shared" si="41"/>
        <v>8411.0190000000002</v>
      </c>
      <c r="DB36" s="36"/>
      <c r="DC36" s="72">
        <v>955.76800000000003</v>
      </c>
      <c r="DD36" s="36"/>
      <c r="DE36" s="32">
        <v>330</v>
      </c>
      <c r="DF36" s="33">
        <v>310</v>
      </c>
      <c r="DG36" s="33">
        <v>350</v>
      </c>
      <c r="DH36" s="33">
        <v>300</v>
      </c>
      <c r="DI36" s="33">
        <v>300</v>
      </c>
      <c r="DJ36" s="33">
        <v>0</v>
      </c>
      <c r="DK36" s="34">
        <f t="shared" si="42"/>
        <v>1590</v>
      </c>
      <c r="DL36" s="63">
        <f t="shared" si="43"/>
        <v>0.18903773728248621</v>
      </c>
      <c r="DM36" s="63">
        <f t="shared" si="44"/>
        <v>0.28848038507581542</v>
      </c>
      <c r="DN36" s="36"/>
      <c r="DO36" s="65" t="s">
        <v>177</v>
      </c>
      <c r="DP36" s="59">
        <v>46</v>
      </c>
      <c r="DQ36" s="59">
        <v>13397</v>
      </c>
      <c r="DR36" s="73">
        <v>2</v>
      </c>
      <c r="DS36" s="59" t="s">
        <v>163</v>
      </c>
      <c r="DT36" s="75" t="s">
        <v>164</v>
      </c>
      <c r="DU36" s="62" t="s">
        <v>165</v>
      </c>
      <c r="DV36" s="63">
        <v>9.5761674778368361E-2</v>
      </c>
      <c r="DW36" s="64"/>
      <c r="DX36" s="32">
        <v>789.65360499999986</v>
      </c>
      <c r="DY36" s="33">
        <v>849.65360499999986</v>
      </c>
      <c r="DZ36" s="34">
        <v>929.64102500000001</v>
      </c>
      <c r="EA36" s="33"/>
      <c r="EB36" s="65">
        <f t="shared" si="45"/>
        <v>4113.4669999999996</v>
      </c>
      <c r="EC36" s="33">
        <v>3972.2840000000001</v>
      </c>
      <c r="ED36" s="34">
        <v>4254.6499999999996</v>
      </c>
      <c r="EE36" s="33"/>
      <c r="EF36" s="32">
        <v>181.46899999999999</v>
      </c>
      <c r="EG36" s="33">
        <v>98.355999999999995</v>
      </c>
      <c r="EH36" s="33">
        <v>233.023</v>
      </c>
      <c r="EI36" s="33">
        <v>57.46</v>
      </c>
      <c r="EJ36" s="33">
        <v>1090.1590000000001</v>
      </c>
      <c r="EK36" s="33">
        <v>46.895000000000003</v>
      </c>
      <c r="EL36" s="33">
        <v>173.559</v>
      </c>
      <c r="EM36" s="34">
        <v>4878.1469999999999</v>
      </c>
      <c r="EN36" s="34">
        <f t="shared" si="46"/>
        <v>6759.0680000000002</v>
      </c>
      <c r="EO36" s="59"/>
      <c r="EP36" s="48">
        <f t="shared" si="74"/>
        <v>2.6848228187673209E-2</v>
      </c>
      <c r="EQ36" s="6">
        <f t="shared" si="74"/>
        <v>1.4551710383739294E-2</v>
      </c>
      <c r="ER36" s="6">
        <f t="shared" si="74"/>
        <v>3.4475611134552872E-2</v>
      </c>
      <c r="ES36" s="6">
        <f t="shared" si="74"/>
        <v>8.5011720550821502E-3</v>
      </c>
      <c r="ET36" s="6">
        <f t="shared" si="74"/>
        <v>0.16128836105806305</v>
      </c>
      <c r="EU36" s="6">
        <f t="shared" si="74"/>
        <v>6.9380867303006867E-3</v>
      </c>
      <c r="EV36" s="6">
        <f t="shared" si="74"/>
        <v>2.5677948498224901E-2</v>
      </c>
      <c r="EW36" s="6">
        <f t="shared" si="72"/>
        <v>0.72171888195236378</v>
      </c>
      <c r="EX36" s="63">
        <f t="shared" si="48"/>
        <v>1</v>
      </c>
      <c r="EY36" s="59"/>
      <c r="EZ36" s="35">
        <v>47.987000000000002</v>
      </c>
      <c r="FA36" s="36">
        <v>20.381999999999998</v>
      </c>
      <c r="FB36" s="71">
        <f t="shared" si="49"/>
        <v>68.369</v>
      </c>
      <c r="FD36" s="35">
        <f t="shared" si="75"/>
        <v>35.377000000000002</v>
      </c>
      <c r="FE36" s="36">
        <f t="shared" si="75"/>
        <v>14.262</v>
      </c>
      <c r="FF36" s="71">
        <f t="shared" si="51"/>
        <v>49.639000000000003</v>
      </c>
      <c r="FH36" s="32">
        <f t="shared" si="52"/>
        <v>5091.2340000000004</v>
      </c>
      <c r="FI36" s="33">
        <f t="shared" si="53"/>
        <v>2042.2889999999995</v>
      </c>
      <c r="FJ36" s="34">
        <f t="shared" si="54"/>
        <v>7133.5230000000001</v>
      </c>
      <c r="FL36" s="48">
        <v>0.71370541596347281</v>
      </c>
      <c r="FM36" s="6">
        <v>0.28629458403652719</v>
      </c>
      <c r="FN36" s="41">
        <f t="shared" si="55"/>
        <v>1</v>
      </c>
      <c r="FO36" s="59"/>
      <c r="FP36" s="65">
        <f t="shared" si="56"/>
        <v>966.54500000000007</v>
      </c>
      <c r="FQ36" s="33">
        <v>908.11099999999999</v>
      </c>
      <c r="FR36" s="34">
        <f t="shared" si="57"/>
        <v>1024.979</v>
      </c>
      <c r="FT36" s="65">
        <f t="shared" si="58"/>
        <v>6856.8530000000001</v>
      </c>
      <c r="FU36" s="33">
        <v>6580.183</v>
      </c>
      <c r="FV36" s="34">
        <f t="shared" si="59"/>
        <v>7133.5230000000001</v>
      </c>
      <c r="FX36" s="65">
        <f t="shared" si="60"/>
        <v>1680.1134999999999</v>
      </c>
      <c r="FY36" s="33">
        <v>1687.3989999999999</v>
      </c>
      <c r="FZ36" s="34">
        <f t="shared" si="61"/>
        <v>1672.828</v>
      </c>
      <c r="GB36" s="65">
        <f t="shared" si="62"/>
        <v>8536.9665000000005</v>
      </c>
      <c r="GC36" s="59">
        <f t="shared" si="76"/>
        <v>8267.5820000000003</v>
      </c>
      <c r="GD36" s="73">
        <f t="shared" si="76"/>
        <v>8806.3510000000006</v>
      </c>
      <c r="GF36" s="65">
        <f t="shared" si="64"/>
        <v>5607.4609999999993</v>
      </c>
      <c r="GG36" s="33">
        <v>5462.3549999999996</v>
      </c>
      <c r="GH36" s="34">
        <f t="shared" si="65"/>
        <v>5752.567</v>
      </c>
      <c r="GI36" s="33"/>
      <c r="GJ36" s="65">
        <f t="shared" si="66"/>
        <v>8039.1970000000001</v>
      </c>
      <c r="GK36" s="33">
        <v>7667.375</v>
      </c>
      <c r="GL36" s="34">
        <f t="shared" si="67"/>
        <v>8411.0190000000002</v>
      </c>
      <c r="GM36" s="33"/>
      <c r="GN36" s="76">
        <f t="shared" si="68"/>
        <v>0.50584239555278609</v>
      </c>
      <c r="GO36" s="67"/>
    </row>
    <row r="37" spans="2:198" s="1" customFormat="1" x14ac:dyDescent="0.2">
      <c r="B37" s="77" t="s">
        <v>206</v>
      </c>
      <c r="C37" s="32">
        <v>12913.392</v>
      </c>
      <c r="D37" s="33">
        <v>12984.492</v>
      </c>
      <c r="E37" s="33">
        <v>10224.346</v>
      </c>
      <c r="F37" s="33">
        <v>4518.6329999999998</v>
      </c>
      <c r="G37" s="33">
        <v>8007.4520000000002</v>
      </c>
      <c r="H37" s="33">
        <v>17432.025000000001</v>
      </c>
      <c r="I37" s="34">
        <v>14742.978999999999</v>
      </c>
      <c r="J37" s="33"/>
      <c r="K37" s="35">
        <v>133.11500000000001</v>
      </c>
      <c r="L37" s="36">
        <v>29.976999999999997</v>
      </c>
      <c r="M37" s="36">
        <v>0.76600000000000001</v>
      </c>
      <c r="N37" s="37">
        <f t="shared" si="0"/>
        <v>163.858</v>
      </c>
      <c r="O37" s="36">
        <v>71.929000000000002</v>
      </c>
      <c r="P37" s="37">
        <f t="shared" si="1"/>
        <v>91.929000000000002</v>
      </c>
      <c r="Q37" s="36">
        <v>3.9739999999999998</v>
      </c>
      <c r="R37" s="37">
        <f t="shared" si="2"/>
        <v>87.954999999999998</v>
      </c>
      <c r="S37" s="36">
        <v>20.888999999999999</v>
      </c>
      <c r="T37" s="36">
        <v>1.5010000000000003</v>
      </c>
      <c r="U37" s="36">
        <v>-10</v>
      </c>
      <c r="V37" s="37">
        <f t="shared" si="3"/>
        <v>100.345</v>
      </c>
      <c r="W37" s="36">
        <v>20.064</v>
      </c>
      <c r="X37" s="38">
        <f t="shared" si="4"/>
        <v>80.281000000000006</v>
      </c>
      <c r="Y37" s="36"/>
      <c r="Z37" s="39">
        <f t="shared" si="5"/>
        <v>2.0503690094306349E-2</v>
      </c>
      <c r="AA37" s="40">
        <f t="shared" si="6"/>
        <v>4.6173543023477542E-3</v>
      </c>
      <c r="AB37" s="6">
        <f t="shared" si="7"/>
        <v>0.38620012026974782</v>
      </c>
      <c r="AC37" s="6">
        <f t="shared" si="8"/>
        <v>0.38933785122356518</v>
      </c>
      <c r="AD37" s="6">
        <f t="shared" si="9"/>
        <v>0.43897154853592746</v>
      </c>
      <c r="AE37" s="40">
        <f t="shared" si="10"/>
        <v>1.1079216653219856E-2</v>
      </c>
      <c r="AF37" s="40">
        <f t="shared" si="11"/>
        <v>1.2365674375247026E-2</v>
      </c>
      <c r="AG37" s="40">
        <f t="shared" si="12"/>
        <v>2.6164619457900804E-2</v>
      </c>
      <c r="AH37" s="40">
        <f t="shared" si="13"/>
        <v>3.7258045263608597E-2</v>
      </c>
      <c r="AI37" s="40">
        <f t="shared" si="14"/>
        <v>2.8665675619631854E-2</v>
      </c>
      <c r="AJ37" s="41">
        <f t="shared" si="15"/>
        <v>0.10115416115416115</v>
      </c>
      <c r="AK37" s="42"/>
      <c r="AL37" s="48">
        <f t="shared" si="16"/>
        <v>2.758578478052634E-2</v>
      </c>
      <c r="AM37" s="6">
        <f t="shared" si="17"/>
        <v>1.7723799459735151E-2</v>
      </c>
      <c r="AN37" s="41">
        <f t="shared" si="18"/>
        <v>-3.7077807345381575E-2</v>
      </c>
      <c r="AO37" s="36"/>
      <c r="AP37" s="48">
        <f t="shared" si="19"/>
        <v>0.78317498253678042</v>
      </c>
      <c r="AQ37" s="6">
        <f t="shared" si="20"/>
        <v>0.71481283173272037</v>
      </c>
      <c r="AR37" s="6">
        <f t="shared" si="21"/>
        <v>9.9416791498314325E-2</v>
      </c>
      <c r="AS37" s="6">
        <f t="shared" si="22"/>
        <v>0.40258760053129339</v>
      </c>
      <c r="AT37" s="6">
        <f t="shared" si="23"/>
        <v>0.14797862560046188</v>
      </c>
      <c r="AU37" s="69">
        <v>3.28</v>
      </c>
      <c r="AV37" s="70">
        <v>1.56</v>
      </c>
      <c r="AW37" s="36"/>
      <c r="AX37" s="48">
        <f t="shared" si="24"/>
        <v>0.12760791277768074</v>
      </c>
      <c r="AY37" s="6">
        <v>9.4500000000000001E-2</v>
      </c>
      <c r="AZ37" s="6">
        <f t="shared" si="25"/>
        <v>0.17487582362374196</v>
      </c>
      <c r="BA37" s="6">
        <f t="shared" si="26"/>
        <v>0.1949651875430515</v>
      </c>
      <c r="BB37" s="41">
        <f t="shared" si="27"/>
        <v>0.21585812601913343</v>
      </c>
      <c r="BC37" s="6"/>
      <c r="BD37" s="48">
        <v>0.18540000000000001</v>
      </c>
      <c r="BE37" s="6">
        <v>0.2049</v>
      </c>
      <c r="BF37" s="41">
        <v>0.2253</v>
      </c>
      <c r="BG37" s="6"/>
      <c r="BH37" s="48"/>
      <c r="BI37" s="41">
        <v>2.7E-2</v>
      </c>
      <c r="BJ37" s="48"/>
      <c r="BK37" s="41"/>
      <c r="BL37" s="63"/>
      <c r="BM37" s="6"/>
      <c r="BN37" s="48"/>
      <c r="BO37" s="41">
        <f>BD37-(4.5%+2.5%+3%+2.5%+BI37)</f>
        <v>3.3400000000000013E-2</v>
      </c>
      <c r="BP37" s="6"/>
      <c r="BQ37" s="48"/>
      <c r="BR37" s="41">
        <f>BE37-(6%+2.5%+3%+2.5%+BI37)</f>
        <v>3.7900000000000017E-2</v>
      </c>
      <c r="BS37" s="6"/>
      <c r="BT37" s="48"/>
      <c r="BU37" s="41">
        <f t="shared" si="73"/>
        <v>3.8300000000000001E-2</v>
      </c>
      <c r="BV37" s="36"/>
      <c r="BW37" s="39">
        <f t="shared" si="28"/>
        <v>7.8793640417370355E-4</v>
      </c>
      <c r="BX37" s="6">
        <f t="shared" si="29"/>
        <v>3.4762375458147809E-2</v>
      </c>
      <c r="BY37" s="40">
        <f t="shared" si="30"/>
        <v>1.574653283447176E-2</v>
      </c>
      <c r="BZ37" s="6">
        <f t="shared" si="31"/>
        <v>9.3731988388732923E-2</v>
      </c>
      <c r="CA37" s="6">
        <f t="shared" si="32"/>
        <v>0.74097003368235004</v>
      </c>
      <c r="CB37" s="41">
        <f t="shared" si="33"/>
        <v>0.82036113596851756</v>
      </c>
      <c r="CC37" s="36"/>
      <c r="CD37" s="35">
        <v>82.322999999999993</v>
      </c>
      <c r="CE37" s="36">
        <v>141.31700000000001</v>
      </c>
      <c r="CF37" s="37">
        <f t="shared" si="34"/>
        <v>223.64</v>
      </c>
      <c r="CG37" s="33">
        <f t="shared" si="35"/>
        <v>10224.346</v>
      </c>
      <c r="CH37" s="36">
        <v>30.321999999999999</v>
      </c>
      <c r="CI37" s="36">
        <v>39.469000000000001</v>
      </c>
      <c r="CJ37" s="37">
        <f t="shared" si="36"/>
        <v>10154.555</v>
      </c>
      <c r="CK37" s="36">
        <v>1613.87</v>
      </c>
      <c r="CL37" s="36">
        <v>777.82100000000003</v>
      </c>
      <c r="CM37" s="37">
        <f t="shared" si="37"/>
        <v>2391.6909999999998</v>
      </c>
      <c r="CN37" s="36">
        <v>26.288</v>
      </c>
      <c r="CO37" s="36">
        <v>0</v>
      </c>
      <c r="CP37" s="36">
        <v>73.143000000000001</v>
      </c>
      <c r="CQ37" s="36">
        <v>44.075000000000315</v>
      </c>
      <c r="CR37" s="37">
        <f t="shared" si="38"/>
        <v>12913.392</v>
      </c>
      <c r="CS37" s="36">
        <v>0.187</v>
      </c>
      <c r="CT37" s="33">
        <v>8007.4520000000002</v>
      </c>
      <c r="CU37" s="37">
        <f t="shared" si="39"/>
        <v>8007.6390000000001</v>
      </c>
      <c r="CV37" s="36">
        <v>2939.268</v>
      </c>
      <c r="CW37" s="36">
        <v>63.374999999999545</v>
      </c>
      <c r="CX37" s="37">
        <f t="shared" si="40"/>
        <v>3002.6429999999996</v>
      </c>
      <c r="CY37" s="36">
        <v>255.25899999999999</v>
      </c>
      <c r="CZ37" s="36">
        <v>1647.8510000000001</v>
      </c>
      <c r="DA37" s="71">
        <f t="shared" si="41"/>
        <v>12913.392</v>
      </c>
      <c r="DB37" s="36"/>
      <c r="DC37" s="72">
        <v>1910.9059999999997</v>
      </c>
      <c r="DD37" s="36"/>
      <c r="DE37" s="32">
        <v>350</v>
      </c>
      <c r="DF37" s="33">
        <v>750</v>
      </c>
      <c r="DG37" s="33">
        <v>1205</v>
      </c>
      <c r="DH37" s="33">
        <v>750</v>
      </c>
      <c r="DI37" s="33">
        <v>125</v>
      </c>
      <c r="DJ37" s="33">
        <v>0</v>
      </c>
      <c r="DK37" s="34">
        <f t="shared" si="42"/>
        <v>3180</v>
      </c>
      <c r="DL37" s="63">
        <f t="shared" si="43"/>
        <v>0.24625597983860475</v>
      </c>
      <c r="DM37" s="63">
        <f t="shared" si="44"/>
        <v>0.42121516174836171</v>
      </c>
      <c r="DN37" s="36"/>
      <c r="DO37" s="65" t="s">
        <v>178</v>
      </c>
      <c r="DP37" s="59">
        <v>69</v>
      </c>
      <c r="DQ37" s="59">
        <v>26306</v>
      </c>
      <c r="DR37" s="73">
        <v>4</v>
      </c>
      <c r="DS37" s="59" t="s">
        <v>163</v>
      </c>
      <c r="DT37" s="75" t="s">
        <v>164</v>
      </c>
      <c r="DU37" s="62" t="s">
        <v>165</v>
      </c>
      <c r="DV37" s="63">
        <v>0.60115576786556191</v>
      </c>
      <c r="DW37" s="64"/>
      <c r="DX37" s="32">
        <v>1088.1120000000001</v>
      </c>
      <c r="DY37" s="33">
        <v>1213.1120000000001</v>
      </c>
      <c r="DZ37" s="34">
        <v>1343.1120000000001</v>
      </c>
      <c r="EA37" s="33"/>
      <c r="EB37" s="65">
        <f t="shared" si="45"/>
        <v>6136.6075000000001</v>
      </c>
      <c r="EC37" s="33">
        <v>6051.0169999999998</v>
      </c>
      <c r="ED37" s="34">
        <v>6222.1980000000003</v>
      </c>
      <c r="EE37" s="33"/>
      <c r="EF37" s="32">
        <v>65.216999999999999</v>
      </c>
      <c r="EG37" s="33">
        <v>109.523</v>
      </c>
      <c r="EH37" s="33">
        <v>425.2</v>
      </c>
      <c r="EI37" s="33">
        <v>102.16200000000001</v>
      </c>
      <c r="EJ37" s="33">
        <v>1730.0989999999999</v>
      </c>
      <c r="EK37" s="33">
        <v>55.546999999999997</v>
      </c>
      <c r="EL37" s="33">
        <v>210.80000000000018</v>
      </c>
      <c r="EM37" s="34">
        <v>7129.3729999999996</v>
      </c>
      <c r="EN37" s="34">
        <f t="shared" si="46"/>
        <v>9827.9210000000003</v>
      </c>
      <c r="EO37" s="59"/>
      <c r="EP37" s="48">
        <f t="shared" si="74"/>
        <v>6.6358897268303232E-3</v>
      </c>
      <c r="EQ37" s="6">
        <f t="shared" si="74"/>
        <v>1.1144065972854278E-2</v>
      </c>
      <c r="ER37" s="6">
        <f t="shared" si="74"/>
        <v>4.3264491035286096E-2</v>
      </c>
      <c r="ES37" s="6">
        <f t="shared" si="74"/>
        <v>1.0395077453308792E-2</v>
      </c>
      <c r="ET37" s="6">
        <f t="shared" si="74"/>
        <v>0.17603916433597705</v>
      </c>
      <c r="EU37" s="6">
        <f t="shared" si="74"/>
        <v>5.6519583338124103E-3</v>
      </c>
      <c r="EV37" s="6">
        <f t="shared" si="74"/>
        <v>2.144909386227262E-2</v>
      </c>
      <c r="EW37" s="6">
        <f t="shared" si="72"/>
        <v>0.72542025927965836</v>
      </c>
      <c r="EX37" s="63">
        <f t="shared" si="48"/>
        <v>1</v>
      </c>
      <c r="EY37" s="59"/>
      <c r="EZ37" s="35">
        <v>76.870999999999995</v>
      </c>
      <c r="FA37" s="36">
        <v>84.12700000000001</v>
      </c>
      <c r="FB37" s="71">
        <f t="shared" si="49"/>
        <v>160.99799999999999</v>
      </c>
      <c r="FD37" s="35">
        <f t="shared" si="75"/>
        <v>30.321999999999999</v>
      </c>
      <c r="FE37" s="36">
        <f t="shared" si="75"/>
        <v>39.469000000000001</v>
      </c>
      <c r="FF37" s="71">
        <f t="shared" si="51"/>
        <v>69.790999999999997</v>
      </c>
      <c r="FH37" s="32">
        <f t="shared" si="52"/>
        <v>7575.9340000000002</v>
      </c>
      <c r="FI37" s="33">
        <f t="shared" si="53"/>
        <v>2648.4119999999989</v>
      </c>
      <c r="FJ37" s="34">
        <f t="shared" si="54"/>
        <v>10224.346</v>
      </c>
      <c r="FL37" s="48">
        <v>0.74097003368235004</v>
      </c>
      <c r="FM37" s="6">
        <v>0.25902996631764996</v>
      </c>
      <c r="FN37" s="41">
        <f t="shared" si="55"/>
        <v>1</v>
      </c>
      <c r="FO37" s="59"/>
      <c r="FP37" s="65">
        <f t="shared" si="56"/>
        <v>1587.3000000000002</v>
      </c>
      <c r="FQ37" s="33">
        <v>1526.749</v>
      </c>
      <c r="FR37" s="34">
        <f t="shared" si="57"/>
        <v>1647.8510000000001</v>
      </c>
      <c r="FT37" s="65">
        <f t="shared" si="58"/>
        <v>10087.108499999998</v>
      </c>
      <c r="FU37" s="33">
        <v>9949.8709999999992</v>
      </c>
      <c r="FV37" s="34">
        <f t="shared" si="59"/>
        <v>10224.346</v>
      </c>
      <c r="FX37" s="65">
        <f t="shared" si="60"/>
        <v>4527.4949999999999</v>
      </c>
      <c r="FY37" s="33">
        <v>4536.357</v>
      </c>
      <c r="FZ37" s="34">
        <f t="shared" si="61"/>
        <v>4518.6329999999998</v>
      </c>
      <c r="GB37" s="65">
        <f t="shared" si="62"/>
        <v>14614.603499999999</v>
      </c>
      <c r="GC37" s="59">
        <f t="shared" si="76"/>
        <v>14486.227999999999</v>
      </c>
      <c r="GD37" s="73">
        <f t="shared" si="76"/>
        <v>14742.978999999999</v>
      </c>
      <c r="GF37" s="65">
        <f t="shared" si="64"/>
        <v>8161.6175000000003</v>
      </c>
      <c r="GG37" s="33">
        <v>8315.7829999999994</v>
      </c>
      <c r="GH37" s="34">
        <f t="shared" si="65"/>
        <v>8007.4520000000002</v>
      </c>
      <c r="GI37" s="33"/>
      <c r="GJ37" s="65">
        <f t="shared" si="66"/>
        <v>12984.492</v>
      </c>
      <c r="GK37" s="33">
        <v>13055.592000000001</v>
      </c>
      <c r="GL37" s="34">
        <f t="shared" si="67"/>
        <v>12913.392</v>
      </c>
      <c r="GM37" s="33"/>
      <c r="GN37" s="76">
        <f t="shared" si="68"/>
        <v>0.48184071233956194</v>
      </c>
      <c r="GO37" s="67"/>
    </row>
    <row r="38" spans="2:198" s="1" customFormat="1" x14ac:dyDescent="0.2">
      <c r="B38" s="77" t="s">
        <v>207</v>
      </c>
      <c r="C38" s="32">
        <v>16944.580000000002</v>
      </c>
      <c r="D38" s="33">
        <v>16735.075499999999</v>
      </c>
      <c r="E38" s="33">
        <v>13820.524000000001</v>
      </c>
      <c r="F38" s="33">
        <v>2220.2209999999995</v>
      </c>
      <c r="G38" s="33">
        <v>10808.672</v>
      </c>
      <c r="H38" s="33">
        <v>19164.800999999999</v>
      </c>
      <c r="I38" s="34">
        <v>16040.745000000001</v>
      </c>
      <c r="J38" s="33"/>
      <c r="K38" s="35">
        <v>192.76400000000001</v>
      </c>
      <c r="L38" s="36">
        <v>30.469000000000001</v>
      </c>
      <c r="M38" s="36">
        <v>1.032</v>
      </c>
      <c r="N38" s="37">
        <f t="shared" si="0"/>
        <v>224.26500000000001</v>
      </c>
      <c r="O38" s="36">
        <v>88.957999999999998</v>
      </c>
      <c r="P38" s="37">
        <f t="shared" si="1"/>
        <v>135.30700000000002</v>
      </c>
      <c r="Q38" s="36">
        <v>9.2219999999999995</v>
      </c>
      <c r="R38" s="37">
        <f t="shared" si="2"/>
        <v>126.08500000000002</v>
      </c>
      <c r="S38" s="36">
        <v>26.395</v>
      </c>
      <c r="T38" s="36">
        <v>-2.6259999999999999</v>
      </c>
      <c r="U38" s="36">
        <v>-6.7</v>
      </c>
      <c r="V38" s="37">
        <f t="shared" si="3"/>
        <v>143.15400000000002</v>
      </c>
      <c r="W38" s="36">
        <v>28.65</v>
      </c>
      <c r="X38" s="38">
        <f t="shared" si="4"/>
        <v>114.50400000000002</v>
      </c>
      <c r="Y38" s="36"/>
      <c r="Z38" s="39">
        <f t="shared" si="5"/>
        <v>2.3037123435744288E-2</v>
      </c>
      <c r="AA38" s="40">
        <f t="shared" si="6"/>
        <v>3.6413340352124497E-3</v>
      </c>
      <c r="AB38" s="6">
        <f t="shared" si="7"/>
        <v>0.35865244281025987</v>
      </c>
      <c r="AC38" s="6">
        <f t="shared" si="8"/>
        <v>0.35489507699672862</v>
      </c>
      <c r="AD38" s="6">
        <f t="shared" si="9"/>
        <v>0.39666466011192114</v>
      </c>
      <c r="AE38" s="40">
        <f t="shared" si="10"/>
        <v>1.0631323414107096E-2</v>
      </c>
      <c r="AF38" s="40">
        <f t="shared" si="11"/>
        <v>1.3684312329514142E-2</v>
      </c>
      <c r="AG38" s="40">
        <f t="shared" si="12"/>
        <v>2.7858423813278695E-2</v>
      </c>
      <c r="AH38" s="40">
        <f t="shared" si="13"/>
        <v>3.8702635947400282E-2</v>
      </c>
      <c r="AI38" s="40">
        <f t="shared" si="14"/>
        <v>3.0676040719077449E-2</v>
      </c>
      <c r="AJ38" s="41">
        <f t="shared" si="15"/>
        <v>0.12136510302821855</v>
      </c>
      <c r="AK38" s="42"/>
      <c r="AL38" s="48">
        <f t="shared" si="16"/>
        <v>2.6247626985160876E-2</v>
      </c>
      <c r="AM38" s="6">
        <f t="shared" si="17"/>
        <v>3.481901023900702E-2</v>
      </c>
      <c r="AN38" s="41">
        <f t="shared" si="18"/>
        <v>5.8958696340239859E-3</v>
      </c>
      <c r="AO38" s="36"/>
      <c r="AP38" s="48">
        <f t="shared" si="19"/>
        <v>0.78207396477875946</v>
      </c>
      <c r="AQ38" s="6">
        <f t="shared" si="20"/>
        <v>0.72684992753135402</v>
      </c>
      <c r="AR38" s="6">
        <f t="shared" si="21"/>
        <v>9.1716407252348503E-2</v>
      </c>
      <c r="AS38" s="6">
        <f t="shared" si="22"/>
        <v>0.28808400680335539</v>
      </c>
      <c r="AT38" s="6">
        <f t="shared" si="23"/>
        <v>0.14800018649031135</v>
      </c>
      <c r="AU38" s="69">
        <v>1.8030000000000002</v>
      </c>
      <c r="AV38" s="70">
        <v>1.4490000000000001</v>
      </c>
      <c r="AW38" s="36"/>
      <c r="AX38" s="48">
        <f t="shared" si="24"/>
        <v>0.11734076619190324</v>
      </c>
      <c r="AY38" s="6">
        <v>9.8199999999999996E-2</v>
      </c>
      <c r="AZ38" s="6">
        <f t="shared" si="25"/>
        <v>0.18811074723536664</v>
      </c>
      <c r="BA38" s="6">
        <f t="shared" si="26"/>
        <v>0.20367805091609992</v>
      </c>
      <c r="BB38" s="41">
        <f t="shared" si="27"/>
        <v>0.22283780929238703</v>
      </c>
      <c r="BC38" s="6"/>
      <c r="BD38" s="48">
        <v>0.193</v>
      </c>
      <c r="BE38" s="6">
        <v>0.20880000000000001</v>
      </c>
      <c r="BF38" s="41">
        <v>0.2281</v>
      </c>
      <c r="BG38" s="6"/>
      <c r="BH38" s="48"/>
      <c r="BI38" s="41">
        <v>2.5999999999999999E-2</v>
      </c>
      <c r="BJ38" s="48"/>
      <c r="BK38" s="41"/>
      <c r="BL38" s="63"/>
      <c r="BM38" s="6"/>
      <c r="BN38" s="48"/>
      <c r="BO38" s="41">
        <f>BD38-(4.5%+2.5%+3%+2.5%+BI38)</f>
        <v>4.200000000000001E-2</v>
      </c>
      <c r="BP38" s="6"/>
      <c r="BQ38" s="48"/>
      <c r="BR38" s="41">
        <f>BE38-(6%+2.5%+3%+2.5%+BI38)</f>
        <v>4.2800000000000032E-2</v>
      </c>
      <c r="BS38" s="6"/>
      <c r="BT38" s="48"/>
      <c r="BU38" s="41">
        <f t="shared" si="73"/>
        <v>4.2099999999999999E-2</v>
      </c>
      <c r="BV38" s="36"/>
      <c r="BW38" s="39">
        <f t="shared" si="28"/>
        <v>1.3518242921593971E-3</v>
      </c>
      <c r="BX38" s="6">
        <f t="shared" si="29"/>
        <v>5.7972289974603325E-2</v>
      </c>
      <c r="BY38" s="40">
        <f t="shared" si="30"/>
        <v>1.1854398574178518E-2</v>
      </c>
      <c r="BZ38" s="6">
        <f t="shared" si="31"/>
        <v>7.9368362817389404E-2</v>
      </c>
      <c r="CA38" s="6">
        <f t="shared" si="32"/>
        <v>0.70324909533097291</v>
      </c>
      <c r="CB38" s="41">
        <f t="shared" si="33"/>
        <v>0.74432278550653352</v>
      </c>
      <c r="CC38" s="36"/>
      <c r="CD38" s="35">
        <v>23.026</v>
      </c>
      <c r="CE38" s="36">
        <v>432.75900000000001</v>
      </c>
      <c r="CF38" s="37">
        <f t="shared" si="34"/>
        <v>455.78500000000003</v>
      </c>
      <c r="CG38" s="33">
        <f t="shared" si="35"/>
        <v>13820.524000000001</v>
      </c>
      <c r="CH38" s="36">
        <v>44.893999999999998</v>
      </c>
      <c r="CI38" s="36">
        <v>31.039000000000001</v>
      </c>
      <c r="CJ38" s="37">
        <f t="shared" si="36"/>
        <v>13744.591</v>
      </c>
      <c r="CK38" s="36">
        <v>2042.76</v>
      </c>
      <c r="CL38" s="36">
        <v>553.68899999999996</v>
      </c>
      <c r="CM38" s="37">
        <f t="shared" si="37"/>
        <v>2596.4490000000001</v>
      </c>
      <c r="CN38" s="36">
        <v>0</v>
      </c>
      <c r="CO38" s="36">
        <v>0</v>
      </c>
      <c r="CP38" s="36">
        <v>124.128</v>
      </c>
      <c r="CQ38" s="36">
        <v>23.627000000001473</v>
      </c>
      <c r="CR38" s="37">
        <f t="shared" si="38"/>
        <v>16944.580000000002</v>
      </c>
      <c r="CS38" s="36">
        <v>5.6</v>
      </c>
      <c r="CT38" s="33">
        <v>10808.672</v>
      </c>
      <c r="CU38" s="37">
        <f t="shared" si="39"/>
        <v>10814.272000000001</v>
      </c>
      <c r="CV38" s="36">
        <v>3765.752</v>
      </c>
      <c r="CW38" s="36">
        <v>85.721000000000913</v>
      </c>
      <c r="CX38" s="37">
        <f t="shared" si="40"/>
        <v>3851.4730000000009</v>
      </c>
      <c r="CY38" s="36">
        <v>290.54499999999996</v>
      </c>
      <c r="CZ38" s="36">
        <v>1988.29</v>
      </c>
      <c r="DA38" s="71">
        <f t="shared" si="41"/>
        <v>16944.580000000002</v>
      </c>
      <c r="DB38" s="36"/>
      <c r="DC38" s="72">
        <v>2507.8010000000004</v>
      </c>
      <c r="DD38" s="36"/>
      <c r="DE38" s="32">
        <v>825</v>
      </c>
      <c r="DF38" s="33">
        <v>1000</v>
      </c>
      <c r="DG38" s="33">
        <v>890</v>
      </c>
      <c r="DH38" s="33">
        <v>700</v>
      </c>
      <c r="DI38" s="33">
        <v>475</v>
      </c>
      <c r="DJ38" s="33">
        <v>150</v>
      </c>
      <c r="DK38" s="34">
        <f t="shared" si="42"/>
        <v>4040</v>
      </c>
      <c r="DL38" s="63">
        <f t="shared" si="43"/>
        <v>0.23842432211361977</v>
      </c>
      <c r="DM38" s="63">
        <f t="shared" si="44"/>
        <v>0.30393851603285532</v>
      </c>
      <c r="DN38" s="36"/>
      <c r="DO38" s="65" t="s">
        <v>187</v>
      </c>
      <c r="DP38" s="59">
        <v>84</v>
      </c>
      <c r="DQ38" s="59">
        <v>31395</v>
      </c>
      <c r="DR38" s="73">
        <v>11</v>
      </c>
      <c r="DS38" s="59" t="s">
        <v>163</v>
      </c>
      <c r="DT38" s="75" t="s">
        <v>164</v>
      </c>
      <c r="DU38" s="62" t="s">
        <v>170</v>
      </c>
      <c r="DV38" s="63">
        <v>0.27908382810158827</v>
      </c>
      <c r="DW38" s="64"/>
      <c r="DX38" s="32">
        <v>1570.8820000000001</v>
      </c>
      <c r="DY38" s="33">
        <v>1700.8820000000001</v>
      </c>
      <c r="DZ38" s="34">
        <v>1860.8820000000001</v>
      </c>
      <c r="EA38" s="33"/>
      <c r="EB38" s="65">
        <f t="shared" si="45"/>
        <v>8220.4219999999987</v>
      </c>
      <c r="EC38" s="33">
        <v>8090.0079999999998</v>
      </c>
      <c r="ED38" s="34">
        <v>8350.8359999999993</v>
      </c>
      <c r="EE38" s="33"/>
      <c r="EF38" s="32">
        <v>110.551</v>
      </c>
      <c r="EG38" s="33">
        <v>36.988</v>
      </c>
      <c r="EH38" s="33">
        <v>1002.02</v>
      </c>
      <c r="EI38" s="33">
        <v>275.274</v>
      </c>
      <c r="EJ38" s="33">
        <v>2039.346</v>
      </c>
      <c r="EK38" s="33">
        <v>58.48</v>
      </c>
      <c r="EL38" s="33">
        <v>247.02900000000227</v>
      </c>
      <c r="EM38" s="34">
        <v>9779.5370000000003</v>
      </c>
      <c r="EN38" s="34">
        <f t="shared" si="46"/>
        <v>13549.225000000002</v>
      </c>
      <c r="EO38" s="59"/>
      <c r="EP38" s="48">
        <f t="shared" si="74"/>
        <v>8.1592120582542529E-3</v>
      </c>
      <c r="EQ38" s="6">
        <f t="shared" si="74"/>
        <v>2.7298978354850551E-3</v>
      </c>
      <c r="ER38" s="6">
        <f t="shared" si="74"/>
        <v>7.3954045342076752E-2</v>
      </c>
      <c r="ES38" s="6">
        <f t="shared" si="74"/>
        <v>2.0316586373021334E-2</v>
      </c>
      <c r="ET38" s="6">
        <f t="shared" si="74"/>
        <v>0.15051384857805516</v>
      </c>
      <c r="EU38" s="6">
        <f t="shared" si="74"/>
        <v>4.316114021281659E-3</v>
      </c>
      <c r="EV38" s="6">
        <f t="shared" si="74"/>
        <v>1.8231965296908289E-2</v>
      </c>
      <c r="EW38" s="6">
        <f t="shared" si="72"/>
        <v>0.72177833049491746</v>
      </c>
      <c r="EX38" s="63">
        <f t="shared" si="48"/>
        <v>1</v>
      </c>
      <c r="EY38" s="59"/>
      <c r="EZ38" s="35">
        <v>70.563999999999993</v>
      </c>
      <c r="FA38" s="36">
        <v>93.27</v>
      </c>
      <c r="FB38" s="71">
        <f t="shared" si="49"/>
        <v>163.834</v>
      </c>
      <c r="FD38" s="35">
        <f t="shared" si="75"/>
        <v>44.893999999999998</v>
      </c>
      <c r="FE38" s="36">
        <f t="shared" si="75"/>
        <v>31.039000000000001</v>
      </c>
      <c r="FF38" s="71">
        <f t="shared" si="51"/>
        <v>75.932999999999993</v>
      </c>
      <c r="FH38" s="32">
        <f t="shared" si="52"/>
        <v>9719.2710000000006</v>
      </c>
      <c r="FI38" s="33">
        <f t="shared" si="53"/>
        <v>4101.2530000000015</v>
      </c>
      <c r="FJ38" s="34">
        <f t="shared" si="54"/>
        <v>13820.524000000001</v>
      </c>
      <c r="FL38" s="48">
        <v>0.70324909533097291</v>
      </c>
      <c r="FM38" s="6">
        <v>0.29675090466902709</v>
      </c>
      <c r="FN38" s="41">
        <f t="shared" si="55"/>
        <v>1</v>
      </c>
      <c r="FO38" s="59"/>
      <c r="FP38" s="65">
        <f t="shared" si="56"/>
        <v>1886.9344999999998</v>
      </c>
      <c r="FQ38" s="33">
        <v>1785.579</v>
      </c>
      <c r="FR38" s="34">
        <f t="shared" si="57"/>
        <v>1988.29</v>
      </c>
      <c r="FT38" s="65">
        <f t="shared" si="58"/>
        <v>13643.785</v>
      </c>
      <c r="FU38" s="33">
        <v>13467.045999999998</v>
      </c>
      <c r="FV38" s="34">
        <f t="shared" si="59"/>
        <v>13820.524000000001</v>
      </c>
      <c r="FX38" s="65">
        <f t="shared" si="60"/>
        <v>2127.0949999999998</v>
      </c>
      <c r="FY38" s="33">
        <v>2033.9690000000001</v>
      </c>
      <c r="FZ38" s="34">
        <f t="shared" si="61"/>
        <v>2220.2209999999995</v>
      </c>
      <c r="GB38" s="65">
        <f t="shared" si="62"/>
        <v>15770.880000000001</v>
      </c>
      <c r="GC38" s="59">
        <f t="shared" si="76"/>
        <v>15501.014999999999</v>
      </c>
      <c r="GD38" s="73">
        <f t="shared" si="76"/>
        <v>16040.745000000001</v>
      </c>
      <c r="GF38" s="65">
        <f t="shared" si="64"/>
        <v>10776.995500000001</v>
      </c>
      <c r="GG38" s="33">
        <v>10745.319</v>
      </c>
      <c r="GH38" s="34">
        <f t="shared" si="65"/>
        <v>10808.672</v>
      </c>
      <c r="GI38" s="33"/>
      <c r="GJ38" s="65">
        <f t="shared" si="66"/>
        <v>16735.075499999999</v>
      </c>
      <c r="GK38" s="33">
        <v>16525.571</v>
      </c>
      <c r="GL38" s="34">
        <f t="shared" si="67"/>
        <v>16944.580000000002</v>
      </c>
      <c r="GM38" s="33"/>
      <c r="GN38" s="76">
        <f t="shared" si="68"/>
        <v>0.49283228029257725</v>
      </c>
      <c r="GO38" s="67"/>
    </row>
    <row r="39" spans="2:198" s="1" customFormat="1" x14ac:dyDescent="0.2">
      <c r="B39" s="77" t="s">
        <v>208</v>
      </c>
      <c r="C39" s="32">
        <v>7716.57</v>
      </c>
      <c r="D39" s="33">
        <v>7836.5254999999997</v>
      </c>
      <c r="E39" s="33">
        <v>6181.2029999999995</v>
      </c>
      <c r="F39" s="33">
        <v>782.34500000000003</v>
      </c>
      <c r="G39" s="33">
        <v>6012.8919999999998</v>
      </c>
      <c r="H39" s="33">
        <v>8498.9149999999991</v>
      </c>
      <c r="I39" s="34">
        <v>6963.5479999999998</v>
      </c>
      <c r="J39" s="33"/>
      <c r="K39" s="35">
        <v>82.569000000000003</v>
      </c>
      <c r="L39" s="36">
        <v>11.316000000000001</v>
      </c>
      <c r="M39" s="36">
        <v>1.6719999999999999</v>
      </c>
      <c r="N39" s="37">
        <f t="shared" si="0"/>
        <v>95.557000000000002</v>
      </c>
      <c r="O39" s="36">
        <v>49.497</v>
      </c>
      <c r="P39" s="37">
        <f t="shared" si="1"/>
        <v>46.06</v>
      </c>
      <c r="Q39" s="36">
        <v>4.0780000000000003</v>
      </c>
      <c r="R39" s="37">
        <f t="shared" si="2"/>
        <v>41.981999999999999</v>
      </c>
      <c r="S39" s="36">
        <v>12.9</v>
      </c>
      <c r="T39" s="36">
        <v>5.8860000000000001</v>
      </c>
      <c r="U39" s="36">
        <v>-4.4390000000000001</v>
      </c>
      <c r="V39" s="37">
        <f t="shared" si="3"/>
        <v>56.329000000000001</v>
      </c>
      <c r="W39" s="36">
        <v>12.015000000000001</v>
      </c>
      <c r="X39" s="38">
        <f t="shared" si="4"/>
        <v>44.314</v>
      </c>
      <c r="Y39" s="36"/>
      <c r="Z39" s="39">
        <f t="shared" si="5"/>
        <v>2.1072859394128177E-2</v>
      </c>
      <c r="AA39" s="40">
        <f t="shared" si="6"/>
        <v>2.888014592691621E-3</v>
      </c>
      <c r="AB39" s="6">
        <f t="shared" si="7"/>
        <v>0.43288176801378309</v>
      </c>
      <c r="AC39" s="6">
        <f t="shared" si="8"/>
        <v>0.45637441566703851</v>
      </c>
      <c r="AD39" s="6">
        <f t="shared" si="9"/>
        <v>0.51798403047395791</v>
      </c>
      <c r="AE39" s="40">
        <f t="shared" si="10"/>
        <v>1.2632384083992325E-2</v>
      </c>
      <c r="AF39" s="40">
        <f t="shared" si="11"/>
        <v>1.1309603982019838E-2</v>
      </c>
      <c r="AG39" s="40">
        <f t="shared" si="12"/>
        <v>2.3620464957611196E-2</v>
      </c>
      <c r="AH39" s="40">
        <f t="shared" si="13"/>
        <v>3.4564531990821309E-2</v>
      </c>
      <c r="AI39" s="40">
        <f t="shared" si="14"/>
        <v>2.2377450915070478E-2</v>
      </c>
      <c r="AJ39" s="41">
        <f t="shared" si="15"/>
        <v>8.6581600579503148E-2</v>
      </c>
      <c r="AK39" s="42"/>
      <c r="AL39" s="48">
        <f t="shared" si="16"/>
        <v>5.9434173437098725E-2</v>
      </c>
      <c r="AM39" s="6">
        <f t="shared" si="17"/>
        <v>2.8261908987893557E-2</v>
      </c>
      <c r="AN39" s="41">
        <f t="shared" si="18"/>
        <v>-1.1649529526535049E-2</v>
      </c>
      <c r="AO39" s="36"/>
      <c r="AP39" s="48">
        <f t="shared" si="19"/>
        <v>0.97277051085363164</v>
      </c>
      <c r="AQ39" s="6">
        <f t="shared" si="20"/>
        <v>0.91225975944311244</v>
      </c>
      <c r="AR39" s="6">
        <f t="shared" si="21"/>
        <v>-7.5031523073075229E-2</v>
      </c>
      <c r="AS39" s="6">
        <f t="shared" si="22"/>
        <v>0.12239719201666027</v>
      </c>
      <c r="AT39" s="6">
        <f t="shared" si="23"/>
        <v>0.14997596082197145</v>
      </c>
      <c r="AU39" s="69">
        <v>1.83</v>
      </c>
      <c r="AV39" s="70">
        <v>1.39</v>
      </c>
      <c r="AW39" s="36"/>
      <c r="AX39" s="48">
        <f t="shared" si="24"/>
        <v>0.13801041136152464</v>
      </c>
      <c r="AY39" s="6">
        <v>0.1106</v>
      </c>
      <c r="AZ39" s="6">
        <f t="shared" si="25"/>
        <v>0.22989404624317458</v>
      </c>
      <c r="BA39" s="6">
        <f t="shared" si="26"/>
        <v>0.22989404624317458</v>
      </c>
      <c r="BB39" s="41">
        <f t="shared" si="27"/>
        <v>0.22989404624317458</v>
      </c>
      <c r="BC39" s="6"/>
      <c r="BD39" s="48">
        <v>0.2301</v>
      </c>
      <c r="BE39" s="6">
        <v>0.23230000000000001</v>
      </c>
      <c r="BF39" s="41">
        <v>0.2346</v>
      </c>
      <c r="BG39" s="6"/>
      <c r="BH39" s="48"/>
      <c r="BI39" s="41">
        <v>0.03</v>
      </c>
      <c r="BJ39" s="48"/>
      <c r="BK39" s="41"/>
      <c r="BL39" s="63"/>
      <c r="BM39" s="6"/>
      <c r="BN39" s="48"/>
      <c r="BO39" s="41">
        <f>BD39-(4.5%+2.5%+3%+2.5%+BI39)</f>
        <v>7.51E-2</v>
      </c>
      <c r="BP39" s="6"/>
      <c r="BQ39" s="48"/>
      <c r="BR39" s="41">
        <f>BE39-(6%+2.5%+3%+2.5%+BI39)</f>
        <v>6.2300000000000022E-2</v>
      </c>
      <c r="BS39" s="6"/>
      <c r="BT39" s="48"/>
      <c r="BU39" s="41">
        <f t="shared" si="73"/>
        <v>4.4600000000000001E-2</v>
      </c>
      <c r="BV39" s="36"/>
      <c r="BW39" s="39">
        <f t="shared" si="28"/>
        <v>1.357563861969578E-3</v>
      </c>
      <c r="BX39" s="6">
        <f t="shared" si="29"/>
        <v>6.2887456435246583E-2</v>
      </c>
      <c r="BY39" s="40">
        <f t="shared" si="30"/>
        <v>1.0248490463749533E-2</v>
      </c>
      <c r="BZ39" s="6">
        <f t="shared" si="31"/>
        <v>5.7515993310320146E-2</v>
      </c>
      <c r="CA39" s="6">
        <f t="shared" si="32"/>
        <v>0.83719722520033735</v>
      </c>
      <c r="CB39" s="41">
        <f t="shared" si="33"/>
        <v>0.8554878920917901</v>
      </c>
      <c r="CC39" s="36"/>
      <c r="CD39" s="35">
        <v>15.401</v>
      </c>
      <c r="CE39" s="36">
        <v>804.29700000000003</v>
      </c>
      <c r="CF39" s="37">
        <f t="shared" si="34"/>
        <v>819.69799999999998</v>
      </c>
      <c r="CG39" s="33">
        <f t="shared" si="35"/>
        <v>6181.2029999999995</v>
      </c>
      <c r="CH39" s="36">
        <v>19.241</v>
      </c>
      <c r="CI39" s="36">
        <v>17.189999999999998</v>
      </c>
      <c r="CJ39" s="37">
        <f t="shared" si="36"/>
        <v>6144.7719999999999</v>
      </c>
      <c r="CK39" s="36">
        <v>321.58800000000002</v>
      </c>
      <c r="CL39" s="36">
        <v>334.02800000000002</v>
      </c>
      <c r="CM39" s="37">
        <f t="shared" si="37"/>
        <v>655.61599999999999</v>
      </c>
      <c r="CN39" s="36">
        <v>7.6849999999999996</v>
      </c>
      <c r="CO39" s="36">
        <v>0</v>
      </c>
      <c r="CP39" s="36">
        <v>77.33</v>
      </c>
      <c r="CQ39" s="36">
        <v>11.468999999999468</v>
      </c>
      <c r="CR39" s="37">
        <f t="shared" si="38"/>
        <v>7716.57</v>
      </c>
      <c r="CS39" s="36">
        <v>150.858</v>
      </c>
      <c r="CT39" s="33">
        <v>6012.8919999999998</v>
      </c>
      <c r="CU39" s="37">
        <f t="shared" si="39"/>
        <v>6163.75</v>
      </c>
      <c r="CV39" s="36">
        <v>402.45600000000002</v>
      </c>
      <c r="CW39" s="36">
        <v>60.39699999999948</v>
      </c>
      <c r="CX39" s="37">
        <f t="shared" si="40"/>
        <v>462.8529999999995</v>
      </c>
      <c r="CY39" s="36">
        <v>25</v>
      </c>
      <c r="CZ39" s="36">
        <v>1064.9670000000001</v>
      </c>
      <c r="DA39" s="71">
        <f t="shared" si="41"/>
        <v>7716.57</v>
      </c>
      <c r="DB39" s="36"/>
      <c r="DC39" s="72">
        <v>1157.3000000000002</v>
      </c>
      <c r="DD39" s="36"/>
      <c r="DE39" s="32">
        <v>350</v>
      </c>
      <c r="DF39" s="33">
        <v>200</v>
      </c>
      <c r="DG39" s="33">
        <v>0</v>
      </c>
      <c r="DH39" s="33">
        <v>0</v>
      </c>
      <c r="DI39" s="33">
        <v>0</v>
      </c>
      <c r="DJ39" s="33">
        <v>0</v>
      </c>
      <c r="DK39" s="34">
        <f t="shared" si="42"/>
        <v>550</v>
      </c>
      <c r="DL39" s="63">
        <f t="shared" si="43"/>
        <v>7.1275190920318227E-2</v>
      </c>
      <c r="DM39" s="63">
        <f t="shared" si="44"/>
        <v>0.12196772659355129</v>
      </c>
      <c r="DN39" s="36"/>
      <c r="DO39" s="65" t="s">
        <v>187</v>
      </c>
      <c r="DP39" s="59">
        <v>35</v>
      </c>
      <c r="DQ39" s="59">
        <v>17187</v>
      </c>
      <c r="DR39" s="73">
        <v>7</v>
      </c>
      <c r="DS39" s="59" t="s">
        <v>163</v>
      </c>
      <c r="DT39" s="75" t="s">
        <v>164</v>
      </c>
      <c r="DU39" s="62" t="s">
        <v>170</v>
      </c>
      <c r="DV39" s="63">
        <v>0.12783854103548459</v>
      </c>
      <c r="DW39" s="64"/>
      <c r="DX39" s="32">
        <v>863.69399999999996</v>
      </c>
      <c r="DY39" s="33">
        <v>863.69399999999996</v>
      </c>
      <c r="DZ39" s="34">
        <v>863.69399999999996</v>
      </c>
      <c r="EA39" s="33"/>
      <c r="EB39" s="65">
        <f t="shared" si="45"/>
        <v>3752.17</v>
      </c>
      <c r="EC39" s="33">
        <v>3747.4180000000001</v>
      </c>
      <c r="ED39" s="34">
        <v>3756.922</v>
      </c>
      <c r="EE39" s="33"/>
      <c r="EF39" s="32">
        <v>91.539000000000001</v>
      </c>
      <c r="EG39" s="33">
        <v>79.001999999999995</v>
      </c>
      <c r="EH39" s="33">
        <v>175.727</v>
      </c>
      <c r="EI39" s="33">
        <v>58.41</v>
      </c>
      <c r="EJ39" s="33">
        <v>492.62599999999998</v>
      </c>
      <c r="EK39" s="33">
        <v>0</v>
      </c>
      <c r="EL39" s="33">
        <v>57.671000000000276</v>
      </c>
      <c r="EM39" s="34">
        <v>4986.9399999999996</v>
      </c>
      <c r="EN39" s="34">
        <f t="shared" si="46"/>
        <v>5941.915</v>
      </c>
      <c r="EO39" s="59"/>
      <c r="EP39" s="48">
        <f t="shared" si="74"/>
        <v>1.5405639427692925E-2</v>
      </c>
      <c r="EQ39" s="6">
        <f t="shared" si="74"/>
        <v>1.3295713587286253E-2</v>
      </c>
      <c r="ER39" s="6">
        <f t="shared" si="74"/>
        <v>2.9574135611162396E-2</v>
      </c>
      <c r="ES39" s="6">
        <f t="shared" si="74"/>
        <v>9.8301641810763021E-3</v>
      </c>
      <c r="ET39" s="6">
        <f t="shared" si="74"/>
        <v>8.290694161730687E-2</v>
      </c>
      <c r="EU39" s="6">
        <f t="shared" si="74"/>
        <v>0</v>
      </c>
      <c r="EV39" s="6">
        <f t="shared" si="74"/>
        <v>9.7057935025997976E-3</v>
      </c>
      <c r="EW39" s="6">
        <f t="shared" si="72"/>
        <v>0.83928161207287544</v>
      </c>
      <c r="EX39" s="63">
        <f t="shared" si="48"/>
        <v>1</v>
      </c>
      <c r="EY39" s="59"/>
      <c r="EZ39" s="35">
        <v>34.234000000000002</v>
      </c>
      <c r="FA39" s="36">
        <v>29.114000000000001</v>
      </c>
      <c r="FB39" s="71">
        <f t="shared" si="49"/>
        <v>63.347999999999999</v>
      </c>
      <c r="FD39" s="35">
        <f t="shared" si="75"/>
        <v>19.241</v>
      </c>
      <c r="FE39" s="36">
        <f t="shared" si="75"/>
        <v>17.189999999999998</v>
      </c>
      <c r="FF39" s="71">
        <f t="shared" si="51"/>
        <v>36.430999999999997</v>
      </c>
      <c r="FH39" s="32">
        <f t="shared" si="52"/>
        <v>5174.8860000000004</v>
      </c>
      <c r="FI39" s="33">
        <f t="shared" si="53"/>
        <v>1006.3169999999991</v>
      </c>
      <c r="FJ39" s="34">
        <f t="shared" si="54"/>
        <v>6181.2029999999995</v>
      </c>
      <c r="FL39" s="48">
        <v>0.83719722520033735</v>
      </c>
      <c r="FM39" s="6">
        <v>0.16280277479966265</v>
      </c>
      <c r="FN39" s="41">
        <f t="shared" si="55"/>
        <v>1</v>
      </c>
      <c r="FO39" s="59"/>
      <c r="FP39" s="65">
        <f t="shared" si="56"/>
        <v>1023.6355000000001</v>
      </c>
      <c r="FQ39" s="33">
        <v>982.30399999999997</v>
      </c>
      <c r="FR39" s="34">
        <f t="shared" si="57"/>
        <v>1064.9670000000001</v>
      </c>
      <c r="FT39" s="65">
        <f t="shared" si="58"/>
        <v>6007.8204999999998</v>
      </c>
      <c r="FU39" s="33">
        <v>5834.4380000000001</v>
      </c>
      <c r="FV39" s="34">
        <f t="shared" si="59"/>
        <v>6181.2029999999995</v>
      </c>
      <c r="FX39" s="65">
        <f t="shared" si="60"/>
        <v>860.03050000000007</v>
      </c>
      <c r="FY39" s="33">
        <v>937.71600000000001</v>
      </c>
      <c r="FZ39" s="34">
        <f t="shared" si="61"/>
        <v>782.34500000000003</v>
      </c>
      <c r="GB39" s="65">
        <f t="shared" si="62"/>
        <v>6867.8510000000006</v>
      </c>
      <c r="GC39" s="59">
        <f t="shared" si="76"/>
        <v>6772.1540000000005</v>
      </c>
      <c r="GD39" s="73">
        <f t="shared" si="76"/>
        <v>6963.5479999999998</v>
      </c>
      <c r="GF39" s="65">
        <f t="shared" si="64"/>
        <v>6048.3284999999996</v>
      </c>
      <c r="GG39" s="33">
        <v>6083.7650000000003</v>
      </c>
      <c r="GH39" s="34">
        <f t="shared" si="65"/>
        <v>6012.8919999999998</v>
      </c>
      <c r="GI39" s="33"/>
      <c r="GJ39" s="65">
        <f t="shared" si="66"/>
        <v>7836.5254999999997</v>
      </c>
      <c r="GK39" s="33">
        <v>7956.4809999999998</v>
      </c>
      <c r="GL39" s="34">
        <f t="shared" si="67"/>
        <v>7716.57</v>
      </c>
      <c r="GM39" s="33"/>
      <c r="GN39" s="76">
        <f t="shared" si="68"/>
        <v>0.4868642414958978</v>
      </c>
      <c r="GO39" s="67"/>
    </row>
    <row r="40" spans="2:198" s="1" customFormat="1" x14ac:dyDescent="0.2">
      <c r="B40" s="77" t="s">
        <v>209</v>
      </c>
      <c r="C40" s="32">
        <v>2639.1640000000002</v>
      </c>
      <c r="D40" s="33">
        <v>2581.1509999999998</v>
      </c>
      <c r="E40" s="33">
        <v>2109.5230000000001</v>
      </c>
      <c r="F40" s="33">
        <v>544.78599999999994</v>
      </c>
      <c r="G40" s="33">
        <v>1787.568</v>
      </c>
      <c r="H40" s="33">
        <v>3183.9500000000003</v>
      </c>
      <c r="I40" s="34">
        <v>2654.3090000000002</v>
      </c>
      <c r="J40" s="33"/>
      <c r="K40" s="35">
        <v>34.06</v>
      </c>
      <c r="L40" s="36">
        <v>3.7469999999999999</v>
      </c>
      <c r="M40" s="36">
        <v>4.0000000000000001E-3</v>
      </c>
      <c r="N40" s="37">
        <f t="shared" si="0"/>
        <v>37.811</v>
      </c>
      <c r="O40" s="36">
        <v>19.384</v>
      </c>
      <c r="P40" s="37">
        <f t="shared" si="1"/>
        <v>18.427</v>
      </c>
      <c r="Q40" s="36">
        <v>0.49299999999999988</v>
      </c>
      <c r="R40" s="37">
        <f t="shared" si="2"/>
        <v>17.934000000000001</v>
      </c>
      <c r="S40" s="36">
        <v>3.2320000000000002</v>
      </c>
      <c r="T40" s="36">
        <v>-0.10000000000000003</v>
      </c>
      <c r="U40" s="36">
        <v>-5</v>
      </c>
      <c r="V40" s="37">
        <f t="shared" si="3"/>
        <v>16.065999999999999</v>
      </c>
      <c r="W40" s="36">
        <v>1.8</v>
      </c>
      <c r="X40" s="38">
        <f t="shared" si="4"/>
        <v>14.265999999999998</v>
      </c>
      <c r="Y40" s="36"/>
      <c r="Z40" s="39">
        <f t="shared" si="5"/>
        <v>2.6391326970022291E-2</v>
      </c>
      <c r="AA40" s="40">
        <f t="shared" si="6"/>
        <v>2.903355905950485E-3</v>
      </c>
      <c r="AB40" s="6">
        <f t="shared" si="7"/>
        <v>0.47343868304716319</v>
      </c>
      <c r="AC40" s="6">
        <f t="shared" si="8"/>
        <v>0.47228516433983875</v>
      </c>
      <c r="AD40" s="6">
        <f t="shared" si="9"/>
        <v>0.51265504747295765</v>
      </c>
      <c r="AE40" s="40">
        <f t="shared" si="10"/>
        <v>1.5019655959686204E-2</v>
      </c>
      <c r="AF40" s="40">
        <f t="shared" si="11"/>
        <v>1.1053983281102112E-2</v>
      </c>
      <c r="AG40" s="40">
        <f t="shared" si="12"/>
        <v>2.3320269557861349E-2</v>
      </c>
      <c r="AH40" s="40">
        <f t="shared" si="13"/>
        <v>3.5241952292018285E-2</v>
      </c>
      <c r="AI40" s="40">
        <f t="shared" si="14"/>
        <v>2.9316256431423351E-2</v>
      </c>
      <c r="AJ40" s="41">
        <f t="shared" si="15"/>
        <v>0.10035983496132564</v>
      </c>
      <c r="AK40" s="42"/>
      <c r="AL40" s="48">
        <f t="shared" si="16"/>
        <v>6.3978211254996503E-2</v>
      </c>
      <c r="AM40" s="6">
        <f t="shared" si="17"/>
        <v>8.6212033042537509E-2</v>
      </c>
      <c r="AN40" s="41">
        <f t="shared" si="18"/>
        <v>6.6768515562292463E-2</v>
      </c>
      <c r="AO40" s="36"/>
      <c r="AP40" s="48">
        <f t="shared" si="19"/>
        <v>0.84738018973957618</v>
      </c>
      <c r="AQ40" s="6">
        <f t="shared" si="20"/>
        <v>0.77112566691744378</v>
      </c>
      <c r="AR40" s="6">
        <f t="shared" si="21"/>
        <v>3.3297665472854315E-2</v>
      </c>
      <c r="AS40" s="6">
        <f t="shared" si="22"/>
        <v>0.28141638791677964</v>
      </c>
      <c r="AT40" s="6">
        <f t="shared" si="23"/>
        <v>0.16773569206006145</v>
      </c>
      <c r="AU40" s="69">
        <v>8.69</v>
      </c>
      <c r="AV40" s="70">
        <v>1.35</v>
      </c>
      <c r="AW40" s="36"/>
      <c r="AX40" s="48">
        <f t="shared" si="24"/>
        <v>0.11347002308306721</v>
      </c>
      <c r="AY40" s="6">
        <v>9.4600000000000004E-2</v>
      </c>
      <c r="AZ40" s="6">
        <f t="shared" si="25"/>
        <v>0.19124532469954966</v>
      </c>
      <c r="BA40" s="6">
        <f t="shared" si="26"/>
        <v>0.2079</v>
      </c>
      <c r="BB40" s="41">
        <f t="shared" si="27"/>
        <v>0.2412</v>
      </c>
      <c r="BC40" s="6"/>
      <c r="BD40" s="48">
        <v>0.1928</v>
      </c>
      <c r="BE40" s="6">
        <v>0.20980000000000001</v>
      </c>
      <c r="BF40" s="41">
        <v>0.24100000000000002</v>
      </c>
      <c r="BG40" s="6"/>
      <c r="BH40" s="48"/>
      <c r="BI40" s="78">
        <v>2.5999999999999999E-2</v>
      </c>
      <c r="BJ40" s="79">
        <f>BI40*56.25%</f>
        <v>1.4624999999999999E-2</v>
      </c>
      <c r="BK40" s="78">
        <f>BI40*75%</f>
        <v>1.95E-2</v>
      </c>
      <c r="BL40" s="80">
        <v>1.4999999999999999E-2</v>
      </c>
      <c r="BM40" s="6"/>
      <c r="BN40" s="48"/>
      <c r="BO40" s="78">
        <f>BD40-(4.5%+2.5%+3%+2.5%+BJ40)</f>
        <v>5.3175E-2</v>
      </c>
      <c r="BP40" s="6"/>
      <c r="BQ40" s="48"/>
      <c r="BR40" s="78">
        <f>BE40-(6%+2.5%+3%+2.5%+BK40)</f>
        <v>5.0300000000000039E-2</v>
      </c>
      <c r="BS40" s="6"/>
      <c r="BT40" s="48"/>
      <c r="BU40" s="41">
        <f t="shared" si="73"/>
        <v>5.5000000000000021E-2</v>
      </c>
      <c r="BV40" s="36"/>
      <c r="BW40" s="39">
        <f t="shared" si="28"/>
        <v>4.8189261614418449E-4</v>
      </c>
      <c r="BX40" s="6">
        <f t="shared" si="29"/>
        <v>2.2867479938772667E-2</v>
      </c>
      <c r="BY40" s="40">
        <f t="shared" si="30"/>
        <v>1.8990075007477994E-3</v>
      </c>
      <c r="BZ40" s="6">
        <f t="shared" si="31"/>
        <v>1.2837933111997027E-2</v>
      </c>
      <c r="CA40" s="6">
        <f t="shared" si="32"/>
        <v>0.68495105291575398</v>
      </c>
      <c r="CB40" s="41">
        <f t="shared" si="33"/>
        <v>0.74961355290585985</v>
      </c>
      <c r="CC40" s="36"/>
      <c r="CD40" s="35">
        <v>58.555999999999997</v>
      </c>
      <c r="CE40" s="36">
        <v>102.301</v>
      </c>
      <c r="CF40" s="37">
        <f t="shared" si="34"/>
        <v>160.857</v>
      </c>
      <c r="CG40" s="33">
        <f t="shared" si="35"/>
        <v>2109.5230000000001</v>
      </c>
      <c r="CH40" s="36">
        <v>2.355</v>
      </c>
      <c r="CI40" s="36">
        <v>10.222999999999999</v>
      </c>
      <c r="CJ40" s="37">
        <f t="shared" si="36"/>
        <v>2096.9450000000002</v>
      </c>
      <c r="CK40" s="36">
        <v>278.32299999999998</v>
      </c>
      <c r="CL40" s="36">
        <v>89.058999999999997</v>
      </c>
      <c r="CM40" s="37">
        <f t="shared" si="37"/>
        <v>367.38199999999995</v>
      </c>
      <c r="CN40" s="36">
        <v>0</v>
      </c>
      <c r="CO40" s="36">
        <v>0</v>
      </c>
      <c r="CP40" s="36">
        <v>13.837</v>
      </c>
      <c r="CQ40" s="36">
        <v>0.14300000000013213</v>
      </c>
      <c r="CR40" s="37">
        <f t="shared" si="38"/>
        <v>2639.1640000000002</v>
      </c>
      <c r="CS40" s="36">
        <v>50.320999999999998</v>
      </c>
      <c r="CT40" s="33">
        <v>1787.568</v>
      </c>
      <c r="CU40" s="37">
        <f t="shared" si="39"/>
        <v>1837.8889999999999</v>
      </c>
      <c r="CV40" s="36">
        <v>419.99</v>
      </c>
      <c r="CW40" s="36">
        <v>21.570000000000277</v>
      </c>
      <c r="CX40" s="37">
        <f t="shared" si="40"/>
        <v>441.56000000000029</v>
      </c>
      <c r="CY40" s="36">
        <v>60.249000000000002</v>
      </c>
      <c r="CZ40" s="36">
        <v>299.46600000000001</v>
      </c>
      <c r="DA40" s="71">
        <f t="shared" si="41"/>
        <v>2639.1639999999998</v>
      </c>
      <c r="DB40" s="36"/>
      <c r="DC40" s="72">
        <v>442.68199999999996</v>
      </c>
      <c r="DD40" s="36"/>
      <c r="DE40" s="32">
        <v>40</v>
      </c>
      <c r="DF40" s="33">
        <v>175</v>
      </c>
      <c r="DG40" s="33">
        <v>175</v>
      </c>
      <c r="DH40" s="33">
        <v>100</v>
      </c>
      <c r="DI40" s="33">
        <v>40</v>
      </c>
      <c r="DJ40" s="33">
        <v>0</v>
      </c>
      <c r="DK40" s="34">
        <f t="shared" si="42"/>
        <v>530</v>
      </c>
      <c r="DL40" s="63">
        <f t="shared" si="43"/>
        <v>0.20082116912779954</v>
      </c>
      <c r="DM40" s="63">
        <f t="shared" si="44"/>
        <v>0.30403301954709899</v>
      </c>
      <c r="DN40" s="36"/>
      <c r="DO40" s="65" t="s">
        <v>168</v>
      </c>
      <c r="DP40" s="59">
        <v>17</v>
      </c>
      <c r="DQ40" s="59">
        <v>4996</v>
      </c>
      <c r="DR40" s="73">
        <v>3</v>
      </c>
      <c r="DS40" s="59" t="s">
        <v>163</v>
      </c>
      <c r="DT40" s="65"/>
      <c r="DU40" s="62" t="s">
        <v>165</v>
      </c>
      <c r="DV40" s="63">
        <v>0.12223207060002311</v>
      </c>
      <c r="DW40" s="64"/>
      <c r="DX40" s="32">
        <v>229.6596256</v>
      </c>
      <c r="DY40" s="33">
        <v>249.6596256</v>
      </c>
      <c r="DZ40" s="34">
        <v>289.6483968</v>
      </c>
      <c r="EA40" s="33"/>
      <c r="EB40" s="65">
        <f t="shared" si="45"/>
        <v>1223.4850000000001</v>
      </c>
      <c r="EC40" s="33">
        <v>1246.106</v>
      </c>
      <c r="ED40" s="34">
        <v>1200.864</v>
      </c>
      <c r="EE40" s="33"/>
      <c r="EF40" s="32">
        <v>161.55699999999999</v>
      </c>
      <c r="EG40" s="33">
        <v>11.699</v>
      </c>
      <c r="EH40" s="33">
        <v>164.66300000000001</v>
      </c>
      <c r="EI40" s="33">
        <v>15.917</v>
      </c>
      <c r="EJ40" s="33">
        <v>187.39599999999999</v>
      </c>
      <c r="EK40" s="33">
        <v>16.466999999999999</v>
      </c>
      <c r="EL40" s="33">
        <v>33.309999999999945</v>
      </c>
      <c r="EM40" s="34">
        <v>1443.047</v>
      </c>
      <c r="EN40" s="34">
        <f t="shared" si="46"/>
        <v>2034.056</v>
      </c>
      <c r="EO40" s="59"/>
      <c r="EP40" s="48">
        <f t="shared" si="74"/>
        <v>7.9426033501535834E-2</v>
      </c>
      <c r="EQ40" s="6">
        <f t="shared" si="74"/>
        <v>5.7515623955289334E-3</v>
      </c>
      <c r="ER40" s="6">
        <f t="shared" si="74"/>
        <v>8.0953031774936388E-2</v>
      </c>
      <c r="ES40" s="6">
        <f t="shared" si="74"/>
        <v>7.8252516154914114E-3</v>
      </c>
      <c r="ET40" s="6">
        <f t="shared" si="74"/>
        <v>9.2129223580865019E-2</v>
      </c>
      <c r="EU40" s="6">
        <f t="shared" si="74"/>
        <v>8.0956473174779841E-3</v>
      </c>
      <c r="EV40" s="6">
        <f t="shared" si="74"/>
        <v>1.6376146969404946E-2</v>
      </c>
      <c r="EW40" s="6">
        <f t="shared" si="72"/>
        <v>0.70944310284475942</v>
      </c>
      <c r="EX40" s="63">
        <f t="shared" si="48"/>
        <v>0.99999999999999989</v>
      </c>
      <c r="EY40" s="59"/>
      <c r="EZ40" s="35">
        <v>1.0289999999999999</v>
      </c>
      <c r="FA40" s="36">
        <v>2.9770000000000003</v>
      </c>
      <c r="FB40" s="71">
        <f t="shared" si="49"/>
        <v>4.0060000000000002</v>
      </c>
      <c r="FD40" s="35">
        <f t="shared" si="75"/>
        <v>2.355</v>
      </c>
      <c r="FE40" s="36">
        <f t="shared" si="75"/>
        <v>10.222999999999999</v>
      </c>
      <c r="FF40" s="71">
        <f t="shared" si="51"/>
        <v>12.577999999999999</v>
      </c>
      <c r="FH40" s="32">
        <f t="shared" si="52"/>
        <v>1444.92</v>
      </c>
      <c r="FI40" s="33">
        <f t="shared" si="53"/>
        <v>664.60299999999995</v>
      </c>
      <c r="FJ40" s="34">
        <f t="shared" si="54"/>
        <v>2109.5230000000001</v>
      </c>
      <c r="FL40" s="48">
        <v>0.68495105291575398</v>
      </c>
      <c r="FM40" s="6">
        <v>0.31504894708424602</v>
      </c>
      <c r="FN40" s="41">
        <f t="shared" si="55"/>
        <v>1</v>
      </c>
      <c r="FO40" s="59"/>
      <c r="FP40" s="65">
        <f t="shared" si="56"/>
        <v>284.29700000000003</v>
      </c>
      <c r="FQ40" s="33">
        <v>269.12799999999999</v>
      </c>
      <c r="FR40" s="34">
        <f t="shared" si="57"/>
        <v>299.46600000000001</v>
      </c>
      <c r="FT40" s="65">
        <f t="shared" si="58"/>
        <v>2046.0990000000002</v>
      </c>
      <c r="FU40" s="33">
        <v>1982.675</v>
      </c>
      <c r="FV40" s="34">
        <f t="shared" si="59"/>
        <v>2109.5230000000001</v>
      </c>
      <c r="FX40" s="65">
        <f t="shared" si="60"/>
        <v>502.87450000000001</v>
      </c>
      <c r="FY40" s="33">
        <v>460.96300000000002</v>
      </c>
      <c r="FZ40" s="34">
        <f t="shared" si="61"/>
        <v>544.78599999999994</v>
      </c>
      <c r="GB40" s="65">
        <f t="shared" si="62"/>
        <v>2548.9735000000001</v>
      </c>
      <c r="GC40" s="59">
        <f t="shared" si="76"/>
        <v>2443.6379999999999</v>
      </c>
      <c r="GD40" s="73">
        <f t="shared" si="76"/>
        <v>2654.3090000000002</v>
      </c>
      <c r="GF40" s="65">
        <f t="shared" si="64"/>
        <v>1731.6264999999999</v>
      </c>
      <c r="GG40" s="33">
        <v>1675.6849999999999</v>
      </c>
      <c r="GH40" s="34">
        <f t="shared" si="65"/>
        <v>1787.568</v>
      </c>
      <c r="GI40" s="33"/>
      <c r="GJ40" s="65">
        <f t="shared" si="66"/>
        <v>2581.1509999999998</v>
      </c>
      <c r="GK40" s="33">
        <v>2523.1379999999999</v>
      </c>
      <c r="GL40" s="34">
        <f t="shared" si="67"/>
        <v>2639.1640000000002</v>
      </c>
      <c r="GM40" s="33"/>
      <c r="GN40" s="76">
        <f t="shared" si="68"/>
        <v>0.45501681593110543</v>
      </c>
      <c r="GO40" s="67"/>
    </row>
    <row r="41" spans="2:198" s="1" customFormat="1" x14ac:dyDescent="0.2">
      <c r="B41" s="83" t="s">
        <v>210</v>
      </c>
      <c r="C41" s="32">
        <v>7500.4309999999996</v>
      </c>
      <c r="D41" s="33">
        <v>7404</v>
      </c>
      <c r="E41" s="33">
        <v>5743.3319999999994</v>
      </c>
      <c r="F41" s="33">
        <v>2971.9549999999999</v>
      </c>
      <c r="G41" s="33">
        <v>5225.2330000000002</v>
      </c>
      <c r="H41" s="33">
        <v>10472.385999999999</v>
      </c>
      <c r="I41" s="34">
        <v>8715.2870000000003</v>
      </c>
      <c r="J41" s="33"/>
      <c r="K41" s="35">
        <v>92.304000000000002</v>
      </c>
      <c r="L41" s="36">
        <v>25.294899999999998</v>
      </c>
      <c r="M41" s="36">
        <v>2.085</v>
      </c>
      <c r="N41" s="37">
        <f t="shared" si="0"/>
        <v>119.68389999999999</v>
      </c>
      <c r="O41" s="36">
        <v>48.198</v>
      </c>
      <c r="P41" s="37">
        <f t="shared" si="1"/>
        <v>71.485899999999987</v>
      </c>
      <c r="Q41" s="36">
        <v>-2.052</v>
      </c>
      <c r="R41" s="37">
        <f t="shared" si="2"/>
        <v>73.537899999999993</v>
      </c>
      <c r="S41" s="36">
        <v>15.452999999999999</v>
      </c>
      <c r="T41" s="36">
        <v>0.14999999999999991</v>
      </c>
      <c r="U41" s="36">
        <v>-6.3320000000000007</v>
      </c>
      <c r="V41" s="37">
        <f t="shared" si="3"/>
        <v>82.808899999999994</v>
      </c>
      <c r="W41" s="36">
        <v>16.593</v>
      </c>
      <c r="X41" s="38">
        <f t="shared" si="4"/>
        <v>66.215899999999991</v>
      </c>
      <c r="Y41" s="36"/>
      <c r="Z41" s="39">
        <f t="shared" si="5"/>
        <v>2.4933549432739059E-2</v>
      </c>
      <c r="AA41" s="40">
        <f t="shared" si="6"/>
        <v>6.8327660723933002E-3</v>
      </c>
      <c r="AB41" s="6">
        <f t="shared" si="7"/>
        <v>0.35626509292473996</v>
      </c>
      <c r="AC41" s="6">
        <f t="shared" si="8"/>
        <v>0.35666054201332131</v>
      </c>
      <c r="AD41" s="6">
        <f t="shared" si="9"/>
        <v>0.40271080738512033</v>
      </c>
      <c r="AE41" s="40">
        <f t="shared" si="10"/>
        <v>1.3019448946515397E-2</v>
      </c>
      <c r="AF41" s="40">
        <f t="shared" si="11"/>
        <v>1.78865207995678E-2</v>
      </c>
      <c r="AG41" s="40">
        <f t="shared" si="12"/>
        <v>3.6599278719631305E-2</v>
      </c>
      <c r="AH41" s="40">
        <f t="shared" si="13"/>
        <v>4.8136337714749768E-2</v>
      </c>
      <c r="AI41" s="40">
        <f t="shared" si="14"/>
        <v>4.0646341717871008E-2</v>
      </c>
      <c r="AJ41" s="41">
        <f t="shared" si="15"/>
        <v>0.10874671179721145</v>
      </c>
      <c r="AK41" s="42"/>
      <c r="AL41" s="48">
        <f t="shared" si="16"/>
        <v>3.5177415511659385E-2</v>
      </c>
      <c r="AM41" s="6">
        <f t="shared" si="17"/>
        <v>5.5962087908160207E-2</v>
      </c>
      <c r="AN41" s="41">
        <f t="shared" si="18"/>
        <v>6.023725529902229E-2</v>
      </c>
      <c r="AO41" s="36"/>
      <c r="AP41" s="48">
        <f t="shared" si="19"/>
        <v>0.90979121527364271</v>
      </c>
      <c r="AQ41" s="6">
        <f t="shared" si="20"/>
        <v>0.84700772404178926</v>
      </c>
      <c r="AR41" s="6">
        <f t="shared" si="21"/>
        <v>-3.7992216713946189E-2</v>
      </c>
      <c r="AS41" s="6">
        <f t="shared" si="22"/>
        <v>0.32395398344441806</v>
      </c>
      <c r="AT41" s="6">
        <f t="shared" si="23"/>
        <v>0.1638272520605816</v>
      </c>
      <c r="AU41" s="69">
        <v>1.9452</v>
      </c>
      <c r="AV41" s="70">
        <v>1.395</v>
      </c>
      <c r="AW41" s="36"/>
      <c r="AX41" s="48">
        <f t="shared" si="24"/>
        <v>0.17004422812502376</v>
      </c>
      <c r="AY41" s="6">
        <v>0.1225</v>
      </c>
      <c r="AZ41" s="6">
        <f t="shared" si="25"/>
        <v>0.2500456461249993</v>
      </c>
      <c r="BA41" s="6">
        <f t="shared" si="26"/>
        <v>0.2500456461249993</v>
      </c>
      <c r="BB41" s="41">
        <f t="shared" si="27"/>
        <v>0.2500456461249993</v>
      </c>
      <c r="BC41" s="6"/>
      <c r="BD41" s="48">
        <v>0.23680000000000001</v>
      </c>
      <c r="BE41" s="6">
        <v>0.24179999999999999</v>
      </c>
      <c r="BF41" s="41">
        <v>0.2472</v>
      </c>
      <c r="BG41" s="6"/>
      <c r="BH41" s="48"/>
      <c r="BI41" s="41">
        <v>2.1000000000000001E-2</v>
      </c>
      <c r="BJ41" s="48"/>
      <c r="BK41" s="41"/>
      <c r="BL41" s="63"/>
      <c r="BM41" s="6"/>
      <c r="BN41" s="48"/>
      <c r="BO41" s="41">
        <f>BD41-(4.5%+2.5%+3%+2.5%+BI41)</f>
        <v>9.080000000000002E-2</v>
      </c>
      <c r="BP41" s="6"/>
      <c r="BQ41" s="48"/>
      <c r="BR41" s="41">
        <f>BE41-(6%+2.5%+3%+2.5%+BI41)</f>
        <v>8.0800000000000011E-2</v>
      </c>
      <c r="BS41" s="6"/>
      <c r="BT41" s="48"/>
      <c r="BU41" s="41">
        <f>BF41-(8%+2.5%+3%+2.5%+BI41)</f>
        <v>6.6200000000000009E-2</v>
      </c>
      <c r="BV41" s="36"/>
      <c r="BW41" s="39">
        <f t="shared" si="28"/>
        <v>-7.2691886476669966E-4</v>
      </c>
      <c r="BX41" s="6">
        <f t="shared" si="29"/>
        <v>-2.3562130191103575E-2</v>
      </c>
      <c r="BY41" s="40">
        <f t="shared" si="30"/>
        <v>4.1092870828292709E-3</v>
      </c>
      <c r="BZ41" s="6">
        <f t="shared" si="31"/>
        <v>1.8313264604597673E-2</v>
      </c>
      <c r="CA41" s="6">
        <f t="shared" si="32"/>
        <v>0.67362795673312992</v>
      </c>
      <c r="CB41" s="41">
        <f t="shared" si="33"/>
        <v>0.78492240129326785</v>
      </c>
      <c r="CC41" s="36"/>
      <c r="CD41" s="35">
        <v>57.781999999999996</v>
      </c>
      <c r="CE41" s="36">
        <v>272.608</v>
      </c>
      <c r="CF41" s="37">
        <f t="shared" si="34"/>
        <v>330.39</v>
      </c>
      <c r="CG41" s="33">
        <f t="shared" si="35"/>
        <v>5743.3319999999994</v>
      </c>
      <c r="CH41" s="36">
        <v>5.9989999999999997</v>
      </c>
      <c r="CI41" s="36">
        <v>7.3339999999999996</v>
      </c>
      <c r="CJ41" s="37">
        <f t="shared" si="36"/>
        <v>5729.9989999999998</v>
      </c>
      <c r="CK41" s="36">
        <v>898.38499999999999</v>
      </c>
      <c r="CL41" s="36">
        <v>464.89100000000002</v>
      </c>
      <c r="CM41" s="37">
        <f t="shared" si="37"/>
        <v>1363.2760000000001</v>
      </c>
      <c r="CN41" s="36">
        <v>0</v>
      </c>
      <c r="CO41" s="36">
        <v>0</v>
      </c>
      <c r="CP41" s="36">
        <v>62.756999999999998</v>
      </c>
      <c r="CQ41" s="36">
        <v>14.008999999999396</v>
      </c>
      <c r="CR41" s="37">
        <f t="shared" si="38"/>
        <v>7500.4309999999987</v>
      </c>
      <c r="CS41" s="36">
        <v>40.277999999999999</v>
      </c>
      <c r="CT41" s="33">
        <v>5225.2330000000002</v>
      </c>
      <c r="CU41" s="37">
        <f t="shared" si="39"/>
        <v>5265.5110000000004</v>
      </c>
      <c r="CV41" s="36">
        <v>903.53899999999999</v>
      </c>
      <c r="CW41" s="36">
        <v>55.975999999999203</v>
      </c>
      <c r="CX41" s="37">
        <f t="shared" si="40"/>
        <v>959.51499999999919</v>
      </c>
      <c r="CY41" s="36">
        <v>0</v>
      </c>
      <c r="CZ41" s="36">
        <v>1275.405</v>
      </c>
      <c r="DA41" s="71">
        <f t="shared" si="41"/>
        <v>7500.4309999999996</v>
      </c>
      <c r="DB41" s="36"/>
      <c r="DC41" s="72">
        <v>1228.7750000000001</v>
      </c>
      <c r="DD41" s="36"/>
      <c r="DE41" s="32">
        <v>400</v>
      </c>
      <c r="DF41" s="33">
        <v>350</v>
      </c>
      <c r="DG41" s="33">
        <v>40</v>
      </c>
      <c r="DH41" s="33">
        <v>150</v>
      </c>
      <c r="DI41" s="33">
        <v>0</v>
      </c>
      <c r="DJ41" s="33">
        <v>0</v>
      </c>
      <c r="DK41" s="34">
        <f t="shared" si="42"/>
        <v>940</v>
      </c>
      <c r="DL41" s="63">
        <f t="shared" si="43"/>
        <v>0.1253261312583237</v>
      </c>
      <c r="DM41" s="63">
        <f t="shared" si="44"/>
        <v>0.32344507935610634</v>
      </c>
      <c r="DN41" s="36"/>
      <c r="DO41" s="65" t="s">
        <v>168</v>
      </c>
      <c r="DP41" s="59">
        <v>45</v>
      </c>
      <c r="DQ41" s="59">
        <v>19008</v>
      </c>
      <c r="DR41" s="73">
        <v>4</v>
      </c>
      <c r="DS41" s="59" t="s">
        <v>163</v>
      </c>
      <c r="DT41" s="75" t="s">
        <v>164</v>
      </c>
      <c r="DU41" s="59"/>
      <c r="DV41" s="63" t="s">
        <v>172</v>
      </c>
      <c r="DW41" s="64"/>
      <c r="DX41" s="32">
        <v>914.81200000000001</v>
      </c>
      <c r="DY41" s="33">
        <v>914.81200000000001</v>
      </c>
      <c r="DZ41" s="34">
        <v>914.81200000000001</v>
      </c>
      <c r="EA41" s="33"/>
      <c r="EB41" s="65">
        <f t="shared" si="45"/>
        <v>3618.4265</v>
      </c>
      <c r="EC41" s="33">
        <v>3578.2730000000001</v>
      </c>
      <c r="ED41" s="34">
        <v>3658.58</v>
      </c>
      <c r="EE41" s="33"/>
      <c r="EF41" s="32">
        <v>128.25200000000001</v>
      </c>
      <c r="EG41" s="33">
        <v>276.255</v>
      </c>
      <c r="EH41" s="33">
        <v>337.32100000000003</v>
      </c>
      <c r="EI41" s="33">
        <v>45.911000000000001</v>
      </c>
      <c r="EJ41" s="33">
        <v>877.14099999999996</v>
      </c>
      <c r="EK41" s="33">
        <v>69.063999999999993</v>
      </c>
      <c r="EL41" s="33">
        <v>91.055999999999585</v>
      </c>
      <c r="EM41" s="34">
        <v>3916.9719999999998</v>
      </c>
      <c r="EN41" s="34">
        <f t="shared" si="46"/>
        <v>5741.9719999999998</v>
      </c>
      <c r="EO41" s="59"/>
      <c r="EP41" s="48">
        <f t="shared" si="74"/>
        <v>2.2335880425749206E-2</v>
      </c>
      <c r="EQ41" s="6">
        <f t="shared" si="74"/>
        <v>4.8111519875053382E-2</v>
      </c>
      <c r="ER41" s="6">
        <f t="shared" si="74"/>
        <v>5.8746542128732086E-2</v>
      </c>
      <c r="ES41" s="6">
        <f t="shared" si="74"/>
        <v>7.9956851060924723E-3</v>
      </c>
      <c r="ET41" s="6">
        <f t="shared" si="74"/>
        <v>0.15275953975393819</v>
      </c>
      <c r="EU41" s="6">
        <f t="shared" si="74"/>
        <v>1.2027923507812299E-2</v>
      </c>
      <c r="EV41" s="6">
        <f t="shared" si="74"/>
        <v>1.5857966566190082E-2</v>
      </c>
      <c r="EW41" s="6">
        <f t="shared" si="72"/>
        <v>0.68216494263643224</v>
      </c>
      <c r="EX41" s="63">
        <f t="shared" si="48"/>
        <v>1</v>
      </c>
      <c r="EY41" s="59"/>
      <c r="EZ41" s="35">
        <v>9.3369999999999997</v>
      </c>
      <c r="FA41" s="36">
        <v>14.264000000000001</v>
      </c>
      <c r="FB41" s="71">
        <f t="shared" si="49"/>
        <v>23.600999999999999</v>
      </c>
      <c r="FD41" s="35">
        <f t="shared" si="75"/>
        <v>5.9989999999999997</v>
      </c>
      <c r="FE41" s="36">
        <f t="shared" si="75"/>
        <v>7.3339999999999996</v>
      </c>
      <c r="FF41" s="71">
        <f t="shared" si="51"/>
        <v>13.332999999999998</v>
      </c>
      <c r="FH41" s="32">
        <f t="shared" si="52"/>
        <v>3868.8690000000001</v>
      </c>
      <c r="FI41" s="33">
        <f t="shared" si="53"/>
        <v>1874.4629999999993</v>
      </c>
      <c r="FJ41" s="34">
        <f t="shared" si="54"/>
        <v>5743.3319999999994</v>
      </c>
      <c r="FL41" s="48">
        <v>0.67362795673312992</v>
      </c>
      <c r="FM41" s="6">
        <v>0.32637204326687008</v>
      </c>
      <c r="FN41" s="41">
        <f t="shared" si="55"/>
        <v>1</v>
      </c>
      <c r="FO41" s="59"/>
      <c r="FP41" s="65">
        <f t="shared" si="56"/>
        <v>1217.8004999999998</v>
      </c>
      <c r="FQ41" s="33">
        <v>1160.1959999999999</v>
      </c>
      <c r="FR41" s="34">
        <f t="shared" si="57"/>
        <v>1275.405</v>
      </c>
      <c r="FT41" s="65">
        <f t="shared" si="58"/>
        <v>5645.7469999999994</v>
      </c>
      <c r="FU41" s="33">
        <v>5548.1620000000003</v>
      </c>
      <c r="FV41" s="34">
        <f t="shared" si="59"/>
        <v>5743.3319999999994</v>
      </c>
      <c r="FX41" s="65">
        <f t="shared" si="60"/>
        <v>2838.6009999999997</v>
      </c>
      <c r="FY41" s="33">
        <v>2705.2469999999998</v>
      </c>
      <c r="FZ41" s="34">
        <f t="shared" si="61"/>
        <v>2971.9549999999999</v>
      </c>
      <c r="GB41" s="65">
        <f t="shared" si="62"/>
        <v>8484.348</v>
      </c>
      <c r="GC41" s="59">
        <f t="shared" si="76"/>
        <v>8253.4089999999997</v>
      </c>
      <c r="GD41" s="73">
        <f t="shared" si="76"/>
        <v>8715.2870000000003</v>
      </c>
      <c r="GF41" s="65">
        <f t="shared" si="64"/>
        <v>5076.7975000000006</v>
      </c>
      <c r="GG41" s="33">
        <v>4928.3620000000001</v>
      </c>
      <c r="GH41" s="34">
        <f t="shared" si="65"/>
        <v>5225.2330000000002</v>
      </c>
      <c r="GI41" s="33"/>
      <c r="GJ41" s="65">
        <f t="shared" si="66"/>
        <v>7404</v>
      </c>
      <c r="GK41" s="33">
        <v>7307.5690000000004</v>
      </c>
      <c r="GL41" s="34">
        <f t="shared" si="67"/>
        <v>7500.4309999999996</v>
      </c>
      <c r="GM41" s="33"/>
      <c r="GN41" s="76">
        <f t="shared" si="68"/>
        <v>0.48778263542455097</v>
      </c>
      <c r="GO41" s="67"/>
      <c r="GP41" s="5"/>
    </row>
    <row r="42" spans="2:198" s="1" customFormat="1" x14ac:dyDescent="0.2">
      <c r="B42" s="77" t="s">
        <v>211</v>
      </c>
      <c r="C42" s="32">
        <v>4472.9170000000004</v>
      </c>
      <c r="D42" s="33">
        <v>4309.674</v>
      </c>
      <c r="E42" s="33">
        <v>3660.2489999999998</v>
      </c>
      <c r="F42" s="33">
        <v>1246.579</v>
      </c>
      <c r="G42" s="33">
        <v>2886.5720000000001</v>
      </c>
      <c r="H42" s="33">
        <v>5719.4960000000001</v>
      </c>
      <c r="I42" s="34">
        <v>4906.8279999999995</v>
      </c>
      <c r="J42" s="33"/>
      <c r="K42" s="35">
        <v>48.755000000000003</v>
      </c>
      <c r="L42" s="36">
        <v>8.9730000000000008</v>
      </c>
      <c r="M42" s="36">
        <v>0.253</v>
      </c>
      <c r="N42" s="37">
        <f t="shared" si="0"/>
        <v>57.981000000000002</v>
      </c>
      <c r="O42" s="36">
        <v>24.931999999999999</v>
      </c>
      <c r="P42" s="37">
        <f t="shared" si="1"/>
        <v>33.049000000000007</v>
      </c>
      <c r="Q42" s="36">
        <v>0.17100000000000004</v>
      </c>
      <c r="R42" s="37">
        <f t="shared" si="2"/>
        <v>32.878000000000007</v>
      </c>
      <c r="S42" s="36">
        <v>5.2309999999999999</v>
      </c>
      <c r="T42" s="36">
        <v>-0.57699999999999996</v>
      </c>
      <c r="U42" s="36">
        <v>-1.8</v>
      </c>
      <c r="V42" s="37">
        <f t="shared" si="3"/>
        <v>35.732000000000014</v>
      </c>
      <c r="W42" s="36">
        <v>8.9</v>
      </c>
      <c r="X42" s="38">
        <f t="shared" si="4"/>
        <v>26.832000000000015</v>
      </c>
      <c r="Y42" s="36"/>
      <c r="Z42" s="39">
        <f t="shared" si="5"/>
        <v>2.2625841304933971E-2</v>
      </c>
      <c r="AA42" s="40">
        <f t="shared" si="6"/>
        <v>4.1641200703347869E-3</v>
      </c>
      <c r="AB42" s="6">
        <f t="shared" si="7"/>
        <v>0.398052207232378</v>
      </c>
      <c r="AC42" s="6">
        <f t="shared" si="8"/>
        <v>0.39441878124406754</v>
      </c>
      <c r="AD42" s="6">
        <f t="shared" si="9"/>
        <v>0.43000293199496381</v>
      </c>
      <c r="AE42" s="40">
        <f t="shared" si="10"/>
        <v>1.1570248700945826E-2</v>
      </c>
      <c r="AF42" s="40">
        <f t="shared" si="11"/>
        <v>1.2451985927473871E-2</v>
      </c>
      <c r="AG42" s="40">
        <f t="shared" si="12"/>
        <v>2.3441666881437964E-2</v>
      </c>
      <c r="AH42" s="40">
        <f t="shared" si="13"/>
        <v>3.293907149787028E-2</v>
      </c>
      <c r="AI42" s="40">
        <f t="shared" si="14"/>
        <v>2.8723730013711878E-2</v>
      </c>
      <c r="AJ42" s="41">
        <f t="shared" si="15"/>
        <v>9.1652725935907703E-2</v>
      </c>
      <c r="AK42" s="42"/>
      <c r="AL42" s="48">
        <f t="shared" si="16"/>
        <v>0.13525204757933276</v>
      </c>
      <c r="AM42" s="6">
        <f t="shared" si="17"/>
        <v>0.12758339859620482</v>
      </c>
      <c r="AN42" s="41">
        <f t="shared" si="18"/>
        <v>3.0478132435148176E-3</v>
      </c>
      <c r="AO42" s="36"/>
      <c r="AP42" s="48">
        <f t="shared" si="19"/>
        <v>0.78862722180922673</v>
      </c>
      <c r="AQ42" s="6">
        <f t="shared" si="20"/>
        <v>0.74917421596909428</v>
      </c>
      <c r="AR42" s="6">
        <f t="shared" si="21"/>
        <v>7.2014526538274684E-2</v>
      </c>
      <c r="AS42" s="6">
        <f t="shared" si="22"/>
        <v>0.33752526595060889</v>
      </c>
      <c r="AT42" s="6">
        <f t="shared" si="23"/>
        <v>0.14404872703875343</v>
      </c>
      <c r="AU42" s="69">
        <v>4.0716999999999999</v>
      </c>
      <c r="AV42" s="70">
        <v>1.41</v>
      </c>
      <c r="AW42" s="36"/>
      <c r="AX42" s="48">
        <f t="shared" si="24"/>
        <v>0.13627371131635127</v>
      </c>
      <c r="AY42" s="6">
        <v>0.11260000000000001</v>
      </c>
      <c r="AZ42" s="6">
        <f t="shared" si="25"/>
        <v>0.19191250594998646</v>
      </c>
      <c r="BA42" s="6">
        <f t="shared" si="26"/>
        <v>0.20793940549818815</v>
      </c>
      <c r="BB42" s="41">
        <f t="shared" si="27"/>
        <v>0.22396630504638984</v>
      </c>
      <c r="BC42" s="6"/>
      <c r="BD42" s="48">
        <v>0.18690000000000001</v>
      </c>
      <c r="BE42" s="6">
        <v>0.20349999999999999</v>
      </c>
      <c r="BF42" s="41">
        <v>0.2203</v>
      </c>
      <c r="BG42" s="6"/>
      <c r="BH42" s="48"/>
      <c r="BI42" s="41"/>
      <c r="BJ42" s="48"/>
      <c r="BK42" s="41"/>
      <c r="BL42" s="63"/>
      <c r="BM42" s="6"/>
      <c r="BN42" s="48"/>
      <c r="BO42" s="41"/>
      <c r="BP42" s="6"/>
      <c r="BQ42" s="48"/>
      <c r="BR42" s="41"/>
      <c r="BS42" s="6"/>
      <c r="BT42" s="48"/>
      <c r="BU42" s="41"/>
      <c r="BV42" s="36"/>
      <c r="BW42" s="39">
        <f t="shared" si="28"/>
        <v>9.935474612102515E-5</v>
      </c>
      <c r="BX42" s="6">
        <f t="shared" si="29"/>
        <v>4.5354481075776465E-3</v>
      </c>
      <c r="BY42" s="40">
        <f t="shared" si="30"/>
        <v>1.4200946438343404E-2</v>
      </c>
      <c r="BZ42" s="6">
        <f t="shared" si="31"/>
        <v>8.0925098472700102E-2</v>
      </c>
      <c r="CA42" s="6">
        <f t="shared" si="32"/>
        <v>0.75162400153650755</v>
      </c>
      <c r="CB42" s="41">
        <f t="shared" si="33"/>
        <v>0.81472389087206654</v>
      </c>
      <c r="CC42" s="36"/>
      <c r="CD42" s="35">
        <v>28.25</v>
      </c>
      <c r="CE42" s="36">
        <v>100.852</v>
      </c>
      <c r="CF42" s="37">
        <f t="shared" si="34"/>
        <v>129.102</v>
      </c>
      <c r="CG42" s="33">
        <f t="shared" si="35"/>
        <v>3660.2489999999998</v>
      </c>
      <c r="CH42" s="36">
        <v>17.123999999999999</v>
      </c>
      <c r="CI42" s="36">
        <v>15.645</v>
      </c>
      <c r="CJ42" s="37">
        <f t="shared" si="36"/>
        <v>3627.48</v>
      </c>
      <c r="CK42" s="36">
        <v>514.90800000000002</v>
      </c>
      <c r="CL42" s="36">
        <v>160.303</v>
      </c>
      <c r="CM42" s="37">
        <f t="shared" si="37"/>
        <v>675.21100000000001</v>
      </c>
      <c r="CN42" s="36">
        <v>0</v>
      </c>
      <c r="CO42" s="36">
        <v>0</v>
      </c>
      <c r="CP42" s="36">
        <v>42.076000000000001</v>
      </c>
      <c r="CQ42" s="36">
        <v>-0.95199999999952212</v>
      </c>
      <c r="CR42" s="37">
        <f t="shared" si="38"/>
        <v>4472.9170000000004</v>
      </c>
      <c r="CS42" s="36">
        <v>100.03</v>
      </c>
      <c r="CT42" s="33">
        <v>2886.5720000000001</v>
      </c>
      <c r="CU42" s="37">
        <f t="shared" si="39"/>
        <v>2986.6020000000003</v>
      </c>
      <c r="CV42" s="36">
        <v>786.40300000000002</v>
      </c>
      <c r="CW42" s="36">
        <v>10.370999999999981</v>
      </c>
      <c r="CX42" s="37">
        <f t="shared" si="40"/>
        <v>796.774</v>
      </c>
      <c r="CY42" s="36">
        <v>80</v>
      </c>
      <c r="CZ42" s="36">
        <v>609.54100000000005</v>
      </c>
      <c r="DA42" s="71">
        <f t="shared" si="41"/>
        <v>4472.9170000000004</v>
      </c>
      <c r="DB42" s="36"/>
      <c r="DC42" s="72">
        <v>644.31799999999998</v>
      </c>
      <c r="DD42" s="36"/>
      <c r="DE42" s="32">
        <v>125</v>
      </c>
      <c r="DF42" s="33">
        <v>200</v>
      </c>
      <c r="DG42" s="33">
        <v>200</v>
      </c>
      <c r="DH42" s="33">
        <v>340</v>
      </c>
      <c r="DI42" s="33">
        <v>0</v>
      </c>
      <c r="DJ42" s="33">
        <v>0</v>
      </c>
      <c r="DK42" s="34">
        <f t="shared" si="42"/>
        <v>865</v>
      </c>
      <c r="DL42" s="63">
        <f t="shared" si="43"/>
        <v>0.1933861057560424</v>
      </c>
      <c r="DM42" s="63">
        <f t="shared" si="44"/>
        <v>0.33273353831515312</v>
      </c>
      <c r="DN42" s="36"/>
      <c r="DO42" s="65" t="s">
        <v>162</v>
      </c>
      <c r="DP42" s="59">
        <v>21</v>
      </c>
      <c r="DQ42" s="59">
        <v>8579</v>
      </c>
      <c r="DR42" s="73">
        <v>1</v>
      </c>
      <c r="DS42" s="59" t="s">
        <v>163</v>
      </c>
      <c r="DT42" s="75" t="s">
        <v>164</v>
      </c>
      <c r="DU42" s="59"/>
      <c r="DV42" s="63" t="s">
        <v>172</v>
      </c>
      <c r="DW42" s="64"/>
      <c r="DX42" s="32">
        <v>478.976</v>
      </c>
      <c r="DY42" s="33">
        <v>518.976</v>
      </c>
      <c r="DZ42" s="34">
        <v>558.976</v>
      </c>
      <c r="EA42" s="33"/>
      <c r="EB42" s="65">
        <f t="shared" si="45"/>
        <v>2289.2570000000001</v>
      </c>
      <c r="EC42" s="33">
        <v>2082.71</v>
      </c>
      <c r="ED42" s="34">
        <v>2495.8040000000001</v>
      </c>
      <c r="EE42" s="33"/>
      <c r="EF42" s="32">
        <v>0.65900000000000003</v>
      </c>
      <c r="EG42" s="33">
        <v>4.2640000000000002</v>
      </c>
      <c r="EH42" s="33">
        <v>395.45100000000002</v>
      </c>
      <c r="EI42" s="33">
        <v>13.336</v>
      </c>
      <c r="EJ42" s="33">
        <v>313.54500000000002</v>
      </c>
      <c r="EK42" s="33">
        <v>11.554</v>
      </c>
      <c r="EL42" s="33">
        <v>25.515999999999622</v>
      </c>
      <c r="EM42" s="34">
        <v>2700.7330000000002</v>
      </c>
      <c r="EN42" s="34">
        <f t="shared" si="46"/>
        <v>3465.058</v>
      </c>
      <c r="EO42" s="59"/>
      <c r="EP42" s="48">
        <f t="shared" si="74"/>
        <v>1.9018440672565943E-4</v>
      </c>
      <c r="EQ42" s="6">
        <f t="shared" si="74"/>
        <v>1.230571032288637E-3</v>
      </c>
      <c r="ER42" s="6">
        <f t="shared" si="74"/>
        <v>0.11412536240374621</v>
      </c>
      <c r="ES42" s="6">
        <f t="shared" si="74"/>
        <v>3.8487090259383826E-3</v>
      </c>
      <c r="ET42" s="6">
        <f t="shared" si="74"/>
        <v>9.0487662832772209E-2</v>
      </c>
      <c r="EU42" s="6">
        <f t="shared" si="74"/>
        <v>3.334431920042897E-3</v>
      </c>
      <c r="EV42" s="6">
        <f t="shared" si="74"/>
        <v>7.3638017025976542E-3</v>
      </c>
      <c r="EW42" s="6">
        <f t="shared" si="72"/>
        <v>0.77941927667588828</v>
      </c>
      <c r="EX42" s="63">
        <f t="shared" si="48"/>
        <v>1</v>
      </c>
      <c r="EY42" s="59"/>
      <c r="EZ42" s="35">
        <v>0.33200000000000002</v>
      </c>
      <c r="FA42" s="36">
        <v>51.647000000000006</v>
      </c>
      <c r="FB42" s="71">
        <f t="shared" si="49"/>
        <v>51.979000000000006</v>
      </c>
      <c r="FD42" s="35">
        <f t="shared" si="75"/>
        <v>17.123999999999999</v>
      </c>
      <c r="FE42" s="36">
        <f t="shared" si="75"/>
        <v>15.645</v>
      </c>
      <c r="FF42" s="71">
        <f t="shared" si="51"/>
        <v>32.768999999999998</v>
      </c>
      <c r="FH42" s="32">
        <f t="shared" si="52"/>
        <v>2751.1309999999999</v>
      </c>
      <c r="FI42" s="33">
        <f t="shared" si="53"/>
        <v>909.11799999999971</v>
      </c>
      <c r="FJ42" s="34">
        <f t="shared" si="54"/>
        <v>3660.2489999999998</v>
      </c>
      <c r="FL42" s="48">
        <v>0.75162400153650755</v>
      </c>
      <c r="FM42" s="6">
        <v>0.24837599846349245</v>
      </c>
      <c r="FN42" s="41">
        <f t="shared" si="55"/>
        <v>1</v>
      </c>
      <c r="FO42" s="59"/>
      <c r="FP42" s="65">
        <f t="shared" si="56"/>
        <v>585.5145</v>
      </c>
      <c r="FQ42" s="33">
        <v>561.48800000000006</v>
      </c>
      <c r="FR42" s="34">
        <f t="shared" si="57"/>
        <v>609.54100000000005</v>
      </c>
      <c r="FT42" s="65">
        <f t="shared" si="58"/>
        <v>3442.2109999999998</v>
      </c>
      <c r="FU42" s="33">
        <v>3224.1729999999998</v>
      </c>
      <c r="FV42" s="34">
        <f t="shared" si="59"/>
        <v>3660.2489999999998</v>
      </c>
      <c r="FX42" s="65">
        <f t="shared" si="60"/>
        <v>1187.019</v>
      </c>
      <c r="FY42" s="33">
        <v>1127.4590000000001</v>
      </c>
      <c r="FZ42" s="34">
        <f t="shared" si="61"/>
        <v>1246.579</v>
      </c>
      <c r="GB42" s="65">
        <f t="shared" si="62"/>
        <v>4629.2299999999996</v>
      </c>
      <c r="GC42" s="59">
        <f t="shared" si="76"/>
        <v>4351.6319999999996</v>
      </c>
      <c r="GD42" s="73">
        <f t="shared" si="76"/>
        <v>4906.8279999999995</v>
      </c>
      <c r="GF42" s="65">
        <f t="shared" si="64"/>
        <v>2882.1864999999998</v>
      </c>
      <c r="GG42" s="33">
        <v>2877.8009999999999</v>
      </c>
      <c r="GH42" s="34">
        <f t="shared" si="65"/>
        <v>2886.5720000000001</v>
      </c>
      <c r="GI42" s="33"/>
      <c r="GJ42" s="65">
        <f t="shared" si="66"/>
        <v>4309.674</v>
      </c>
      <c r="GK42" s="33">
        <v>4146.4309999999996</v>
      </c>
      <c r="GL42" s="34">
        <f t="shared" si="67"/>
        <v>4472.9170000000004</v>
      </c>
      <c r="GM42" s="33"/>
      <c r="GN42" s="76">
        <f t="shared" si="68"/>
        <v>0.55798129050907941</v>
      </c>
      <c r="GO42" s="67"/>
    </row>
    <row r="43" spans="2:198" s="1" customFormat="1" x14ac:dyDescent="0.2">
      <c r="B43" s="77" t="s">
        <v>212</v>
      </c>
      <c r="C43" s="32">
        <v>5868.0370000000003</v>
      </c>
      <c r="D43" s="33">
        <v>5622.3459999999995</v>
      </c>
      <c r="E43" s="33">
        <v>5053.5569999999998</v>
      </c>
      <c r="F43" s="33">
        <v>1826.252</v>
      </c>
      <c r="G43" s="33">
        <v>4000.1680000000001</v>
      </c>
      <c r="H43" s="33">
        <v>7694.2890000000007</v>
      </c>
      <c r="I43" s="34">
        <v>6879.8089999999993</v>
      </c>
      <c r="J43" s="33"/>
      <c r="K43" s="35">
        <v>67.790000000000006</v>
      </c>
      <c r="L43" s="36">
        <v>18.634999999999998</v>
      </c>
      <c r="M43" s="36">
        <v>0.17</v>
      </c>
      <c r="N43" s="37">
        <f t="shared" si="0"/>
        <v>86.595000000000013</v>
      </c>
      <c r="O43" s="36">
        <v>38.213999999999999</v>
      </c>
      <c r="P43" s="37">
        <f t="shared" si="1"/>
        <v>48.381000000000014</v>
      </c>
      <c r="Q43" s="36">
        <v>9.0869999999999997</v>
      </c>
      <c r="R43" s="37">
        <f t="shared" si="2"/>
        <v>39.294000000000011</v>
      </c>
      <c r="S43" s="36">
        <v>7.3970000000000002</v>
      </c>
      <c r="T43" s="36">
        <v>-0.111</v>
      </c>
      <c r="U43" s="36">
        <v>-2.5</v>
      </c>
      <c r="V43" s="37">
        <f t="shared" si="3"/>
        <v>44.080000000000013</v>
      </c>
      <c r="W43" s="36">
        <v>7.6710000000000003</v>
      </c>
      <c r="X43" s="38">
        <f t="shared" si="4"/>
        <v>36.409000000000013</v>
      </c>
      <c r="Y43" s="36"/>
      <c r="Z43" s="39">
        <f t="shared" si="5"/>
        <v>2.411448886283413E-2</v>
      </c>
      <c r="AA43" s="40">
        <f t="shared" si="6"/>
        <v>6.6289054426746409E-3</v>
      </c>
      <c r="AB43" s="6">
        <f t="shared" si="7"/>
        <v>0.40704721935215848</v>
      </c>
      <c r="AC43" s="6">
        <f t="shared" si="8"/>
        <v>0.40656651629925944</v>
      </c>
      <c r="AD43" s="6">
        <f t="shared" si="9"/>
        <v>0.44129568681794551</v>
      </c>
      <c r="AE43" s="40">
        <f t="shared" si="10"/>
        <v>1.3593613769056547E-2</v>
      </c>
      <c r="AF43" s="40">
        <f t="shared" si="11"/>
        <v>1.2951533043323913E-2</v>
      </c>
      <c r="AG43" s="40">
        <f t="shared" si="12"/>
        <v>2.7072188102223563E-2</v>
      </c>
      <c r="AH43" s="40">
        <f t="shared" si="13"/>
        <v>4.139162006884229E-2</v>
      </c>
      <c r="AI43" s="40">
        <f t="shared" si="14"/>
        <v>2.9217351734152894E-2</v>
      </c>
      <c r="AJ43" s="41">
        <f t="shared" si="15"/>
        <v>0.10928751796307211</v>
      </c>
      <c r="AK43" s="42"/>
      <c r="AL43" s="48">
        <f t="shared" si="16"/>
        <v>0.12831650645802348</v>
      </c>
      <c r="AM43" s="6">
        <f t="shared" si="17"/>
        <v>9.0568178017371048E-2</v>
      </c>
      <c r="AN43" s="41">
        <f t="shared" si="18"/>
        <v>6.1421342694676417E-2</v>
      </c>
      <c r="AO43" s="36"/>
      <c r="AP43" s="48">
        <f t="shared" si="19"/>
        <v>0.79155493843247449</v>
      </c>
      <c r="AQ43" s="6">
        <f t="shared" si="20"/>
        <v>0.77927131840935582</v>
      </c>
      <c r="AR43" s="6">
        <f t="shared" si="21"/>
        <v>9.6213776429835057E-2</v>
      </c>
      <c r="AS43" s="6">
        <f t="shared" si="22"/>
        <v>0.33502106411394472</v>
      </c>
      <c r="AT43" s="6">
        <f t="shared" si="23"/>
        <v>9.6874303962296071E-2</v>
      </c>
      <c r="AU43" s="69">
        <v>6.17</v>
      </c>
      <c r="AV43" s="70">
        <v>1.32</v>
      </c>
      <c r="AW43" s="36"/>
      <c r="AX43" s="48">
        <f t="shared" si="24"/>
        <v>0.11769387275506271</v>
      </c>
      <c r="AY43" s="6">
        <v>9.2999999999999999E-2</v>
      </c>
      <c r="AZ43" s="6">
        <f t="shared" si="25"/>
        <v>0.1797767665424457</v>
      </c>
      <c r="BA43" s="6">
        <f t="shared" si="26"/>
        <v>0.197989201483075</v>
      </c>
      <c r="BB43" s="41">
        <f t="shared" si="27"/>
        <v>0.20891666244745255</v>
      </c>
      <c r="BC43" s="6"/>
      <c r="BD43" s="48">
        <v>0.17710000000000001</v>
      </c>
      <c r="BE43" s="6">
        <v>0.19550000000000001</v>
      </c>
      <c r="BF43" s="41">
        <v>0.2087</v>
      </c>
      <c r="BG43" s="6"/>
      <c r="BH43" s="48"/>
      <c r="BI43" s="78">
        <v>2.5000000000000001E-2</v>
      </c>
      <c r="BJ43" s="79">
        <f>BI43*56.25%</f>
        <v>1.40625E-2</v>
      </c>
      <c r="BK43" s="78">
        <f>BI43*75%</f>
        <v>1.8750000000000003E-2</v>
      </c>
      <c r="BL43" s="82">
        <v>1.2500000000000001E-2</v>
      </c>
      <c r="BM43" s="6"/>
      <c r="BN43" s="48"/>
      <c r="BO43" s="78">
        <f>BD43-(4.5%+2.5%+3%+2.5%+BJ43)</f>
        <v>3.8037500000000002E-2</v>
      </c>
      <c r="BP43" s="6"/>
      <c r="BQ43" s="48"/>
      <c r="BR43" s="78">
        <f>BE43-(6%+2.5%+3%+2.5%+BK43)</f>
        <v>3.6750000000000005E-2</v>
      </c>
      <c r="BS43" s="6"/>
      <c r="BT43" s="48"/>
      <c r="BU43" s="41">
        <f>BF43-(8%+2.5%+3%+2.5%+BI43)</f>
        <v>2.3699999999999999E-2</v>
      </c>
      <c r="BV43" s="36"/>
      <c r="BW43" s="39">
        <f t="shared" si="28"/>
        <v>3.8130989832155663E-3</v>
      </c>
      <c r="BX43" s="6">
        <f t="shared" si="29"/>
        <v>0.16323854348177549</v>
      </c>
      <c r="BY43" s="40">
        <f t="shared" si="30"/>
        <v>6.8929666767387808E-3</v>
      </c>
      <c r="BZ43" s="6">
        <f t="shared" si="31"/>
        <v>4.8773452814337731E-2</v>
      </c>
      <c r="CA43" s="6">
        <f t="shared" si="32"/>
        <v>0.71986404823374905</v>
      </c>
      <c r="CB43" s="41">
        <f t="shared" si="33"/>
        <v>0.79422640948317036</v>
      </c>
      <c r="CC43" s="36"/>
      <c r="CD43" s="35">
        <v>80.215999999999994</v>
      </c>
      <c r="CE43" s="36">
        <v>244.52099999999999</v>
      </c>
      <c r="CF43" s="37">
        <f t="shared" si="34"/>
        <v>324.73699999999997</v>
      </c>
      <c r="CG43" s="33">
        <f t="shared" si="35"/>
        <v>5053.5569999999998</v>
      </c>
      <c r="CH43" s="36">
        <v>9.3640000000000008</v>
      </c>
      <c r="CI43" s="36">
        <v>14.204000000000001</v>
      </c>
      <c r="CJ43" s="37">
        <f t="shared" si="36"/>
        <v>5029.9890000000005</v>
      </c>
      <c r="CK43" s="36">
        <v>243.72499999999999</v>
      </c>
      <c r="CL43" s="36">
        <v>225.33199999999999</v>
      </c>
      <c r="CM43" s="37">
        <f t="shared" si="37"/>
        <v>469.05700000000002</v>
      </c>
      <c r="CN43" s="36">
        <v>3.34</v>
      </c>
      <c r="CO43" s="36">
        <v>0</v>
      </c>
      <c r="CP43" s="36">
        <v>35.093000000000004</v>
      </c>
      <c r="CQ43" s="36">
        <v>5.8209999999996711</v>
      </c>
      <c r="CR43" s="37">
        <f t="shared" si="38"/>
        <v>5868.0370000000003</v>
      </c>
      <c r="CS43" s="36">
        <v>0</v>
      </c>
      <c r="CT43" s="33">
        <v>4000.1680000000001</v>
      </c>
      <c r="CU43" s="37">
        <f t="shared" si="39"/>
        <v>4000.1680000000001</v>
      </c>
      <c r="CV43" s="36">
        <v>1052.79</v>
      </c>
      <c r="CW43" s="36">
        <v>44.189000000000192</v>
      </c>
      <c r="CX43" s="37">
        <f t="shared" si="40"/>
        <v>1096.9790000000003</v>
      </c>
      <c r="CY43" s="36">
        <v>80.257999999999996</v>
      </c>
      <c r="CZ43" s="36">
        <v>690.63199999999995</v>
      </c>
      <c r="DA43" s="71">
        <f t="shared" si="41"/>
        <v>5868.0370000000003</v>
      </c>
      <c r="DB43" s="36"/>
      <c r="DC43" s="72">
        <v>568.46199999999999</v>
      </c>
      <c r="DD43" s="36"/>
      <c r="DE43" s="32">
        <v>180</v>
      </c>
      <c r="DF43" s="33">
        <v>275</v>
      </c>
      <c r="DG43" s="33">
        <v>325</v>
      </c>
      <c r="DH43" s="33">
        <v>250</v>
      </c>
      <c r="DI43" s="33">
        <v>100</v>
      </c>
      <c r="DJ43" s="33">
        <v>0</v>
      </c>
      <c r="DK43" s="34">
        <f t="shared" si="42"/>
        <v>1130</v>
      </c>
      <c r="DL43" s="63">
        <f t="shared" si="43"/>
        <v>0.19256865626443731</v>
      </c>
      <c r="DM43" s="63">
        <f t="shared" si="44"/>
        <v>0.34817878619374759</v>
      </c>
      <c r="DN43" s="36"/>
      <c r="DO43" s="65" t="s">
        <v>168</v>
      </c>
      <c r="DP43" s="59">
        <v>42</v>
      </c>
      <c r="DQ43" s="59">
        <v>9365</v>
      </c>
      <c r="DR43" s="73">
        <v>5</v>
      </c>
      <c r="DS43" s="59" t="s">
        <v>163</v>
      </c>
      <c r="DT43" s="75" t="s">
        <v>164</v>
      </c>
      <c r="DU43" s="62" t="s">
        <v>170</v>
      </c>
      <c r="DV43" s="63">
        <v>0.37340070736327063</v>
      </c>
      <c r="DW43" s="64"/>
      <c r="DX43" s="32">
        <v>493.55499999999995</v>
      </c>
      <c r="DY43" s="33">
        <v>543.55499999999995</v>
      </c>
      <c r="DZ43" s="34">
        <v>573.55499999999995</v>
      </c>
      <c r="EA43" s="33"/>
      <c r="EB43" s="65">
        <f t="shared" si="45"/>
        <v>2689.7714999999998</v>
      </c>
      <c r="EC43" s="33">
        <v>2634.1660000000002</v>
      </c>
      <c r="ED43" s="34">
        <v>2745.377</v>
      </c>
      <c r="EE43" s="33"/>
      <c r="EF43" s="32">
        <v>58.802999999999997</v>
      </c>
      <c r="EG43" s="33">
        <v>80.069999999999993</v>
      </c>
      <c r="EH43" s="33">
        <v>446.92399999999998</v>
      </c>
      <c r="EI43" s="33">
        <v>54.395000000000003</v>
      </c>
      <c r="EJ43" s="33">
        <v>664.11300000000006</v>
      </c>
      <c r="EK43" s="33">
        <v>16.986999999999998</v>
      </c>
      <c r="EL43" s="33">
        <v>62.061000000000149</v>
      </c>
      <c r="EM43" s="34">
        <v>3352.0920000000001</v>
      </c>
      <c r="EN43" s="34">
        <f t="shared" si="46"/>
        <v>4735.4450000000006</v>
      </c>
      <c r="EO43" s="59"/>
      <c r="EP43" s="48">
        <f t="shared" si="74"/>
        <v>1.2417629177405711E-2</v>
      </c>
      <c r="EQ43" s="6">
        <f t="shared" si="74"/>
        <v>1.6908653780162156E-2</v>
      </c>
      <c r="ER43" s="6">
        <f t="shared" si="74"/>
        <v>9.4378458624268663E-2</v>
      </c>
      <c r="ES43" s="6">
        <f t="shared" si="74"/>
        <v>1.1486776849905341E-2</v>
      </c>
      <c r="ET43" s="6">
        <f t="shared" si="74"/>
        <v>0.14024299722623745</v>
      </c>
      <c r="EU43" s="6">
        <f t="shared" si="74"/>
        <v>3.5872024698840334E-3</v>
      </c>
      <c r="EV43" s="6">
        <f t="shared" si="74"/>
        <v>1.3105632100045537E-2</v>
      </c>
      <c r="EW43" s="6">
        <f t="shared" si="72"/>
        <v>0.70787264977209108</v>
      </c>
      <c r="EX43" s="63">
        <f t="shared" si="48"/>
        <v>1</v>
      </c>
      <c r="EY43" s="59"/>
      <c r="EZ43" s="35">
        <v>14.57</v>
      </c>
      <c r="FA43" s="36">
        <v>20.263999999999999</v>
      </c>
      <c r="FB43" s="71">
        <f t="shared" si="49"/>
        <v>34.834000000000003</v>
      </c>
      <c r="FD43" s="35">
        <f t="shared" si="75"/>
        <v>9.3640000000000008</v>
      </c>
      <c r="FE43" s="36">
        <f t="shared" si="75"/>
        <v>14.204000000000001</v>
      </c>
      <c r="FF43" s="71">
        <f t="shared" si="51"/>
        <v>23.568000000000001</v>
      </c>
      <c r="FH43" s="32">
        <f t="shared" si="52"/>
        <v>3637.8739999999998</v>
      </c>
      <c r="FI43" s="33">
        <f t="shared" si="53"/>
        <v>1415.6829999999998</v>
      </c>
      <c r="FJ43" s="34">
        <f t="shared" si="54"/>
        <v>5053.5569999999998</v>
      </c>
      <c r="FL43" s="48">
        <v>0.71986404823374905</v>
      </c>
      <c r="FM43" s="6">
        <v>0.28013595176625095</v>
      </c>
      <c r="FN43" s="41">
        <f t="shared" si="55"/>
        <v>1</v>
      </c>
      <c r="FO43" s="59"/>
      <c r="FP43" s="65">
        <f t="shared" si="56"/>
        <v>666.2974999999999</v>
      </c>
      <c r="FQ43" s="33">
        <v>641.96299999999997</v>
      </c>
      <c r="FR43" s="34">
        <f t="shared" si="57"/>
        <v>690.63199999999995</v>
      </c>
      <c r="FT43" s="65">
        <f t="shared" si="58"/>
        <v>4766.2020000000002</v>
      </c>
      <c r="FU43" s="33">
        <v>4478.8470000000007</v>
      </c>
      <c r="FV43" s="34">
        <f t="shared" si="59"/>
        <v>5053.5569999999998</v>
      </c>
      <c r="FX43" s="65">
        <f t="shared" si="60"/>
        <v>1827.934</v>
      </c>
      <c r="FY43" s="33">
        <v>1829.616</v>
      </c>
      <c r="FZ43" s="34">
        <f t="shared" si="61"/>
        <v>1826.252</v>
      </c>
      <c r="GB43" s="65">
        <f t="shared" si="62"/>
        <v>6594.1360000000004</v>
      </c>
      <c r="GC43" s="59">
        <f t="shared" si="76"/>
        <v>6308.4630000000006</v>
      </c>
      <c r="GD43" s="73">
        <f t="shared" si="76"/>
        <v>6879.8089999999993</v>
      </c>
      <c r="GF43" s="65">
        <f t="shared" si="64"/>
        <v>3884.4290000000001</v>
      </c>
      <c r="GG43" s="33">
        <v>3768.69</v>
      </c>
      <c r="GH43" s="34">
        <f t="shared" si="65"/>
        <v>4000.1680000000001</v>
      </c>
      <c r="GI43" s="33"/>
      <c r="GJ43" s="65">
        <f t="shared" si="66"/>
        <v>5622.3459999999995</v>
      </c>
      <c r="GK43" s="33">
        <v>5376.6549999999997</v>
      </c>
      <c r="GL43" s="34">
        <f t="shared" si="67"/>
        <v>5868.0370000000003</v>
      </c>
      <c r="GM43" s="33"/>
      <c r="GN43" s="76">
        <f t="shared" si="68"/>
        <v>0.46785270781353283</v>
      </c>
      <c r="GO43" s="67"/>
    </row>
    <row r="44" spans="2:198" s="1" customFormat="1" x14ac:dyDescent="0.2">
      <c r="B44" s="77" t="s">
        <v>213</v>
      </c>
      <c r="C44" s="32">
        <v>3956.1030000000001</v>
      </c>
      <c r="D44" s="33">
        <v>3912.3254999999999</v>
      </c>
      <c r="E44" s="33">
        <v>2929.375</v>
      </c>
      <c r="F44" s="33">
        <v>604.81899999999996</v>
      </c>
      <c r="G44" s="33">
        <v>3196.598</v>
      </c>
      <c r="H44" s="33">
        <v>4560.9220000000005</v>
      </c>
      <c r="I44" s="34">
        <v>3534.194</v>
      </c>
      <c r="J44" s="33"/>
      <c r="K44" s="35">
        <v>52.393999999999998</v>
      </c>
      <c r="L44" s="36">
        <v>8.1440000000000001</v>
      </c>
      <c r="M44" s="36">
        <v>7.0000000000000007E-2</v>
      </c>
      <c r="N44" s="37">
        <f t="shared" si="0"/>
        <v>60.607999999999997</v>
      </c>
      <c r="O44" s="36">
        <v>28.338999999999999</v>
      </c>
      <c r="P44" s="37">
        <f t="shared" si="1"/>
        <v>32.268999999999998</v>
      </c>
      <c r="Q44" s="36">
        <v>-4.8449999999999998</v>
      </c>
      <c r="R44" s="37">
        <f t="shared" si="2"/>
        <v>37.113999999999997</v>
      </c>
      <c r="S44" s="36">
        <v>10.848000000000001</v>
      </c>
      <c r="T44" s="36">
        <v>0.995</v>
      </c>
      <c r="U44" s="36">
        <v>-10.423999999999999</v>
      </c>
      <c r="V44" s="37">
        <f t="shared" si="3"/>
        <v>38.532999999999994</v>
      </c>
      <c r="W44" s="36">
        <v>6.6689999999999996</v>
      </c>
      <c r="X44" s="38">
        <f t="shared" si="4"/>
        <v>31.863999999999994</v>
      </c>
      <c r="Y44" s="36"/>
      <c r="Z44" s="39">
        <f t="shared" si="5"/>
        <v>2.678406998599682E-2</v>
      </c>
      <c r="AA44" s="40">
        <f t="shared" si="6"/>
        <v>4.1632527763858099E-3</v>
      </c>
      <c r="AB44" s="6">
        <f t="shared" si="7"/>
        <v>0.39114712012256553</v>
      </c>
      <c r="AC44" s="6">
        <f t="shared" si="8"/>
        <v>0.39659370801612176</v>
      </c>
      <c r="AD44" s="6">
        <f t="shared" si="9"/>
        <v>0.46757853748680045</v>
      </c>
      <c r="AE44" s="40">
        <f t="shared" si="10"/>
        <v>1.448703590741619E-2</v>
      </c>
      <c r="AF44" s="40">
        <f t="shared" si="11"/>
        <v>1.6289033210554693E-2</v>
      </c>
      <c r="AG44" s="40">
        <f t="shared" si="12"/>
        <v>3.6681595713880327E-2</v>
      </c>
      <c r="AH44" s="40">
        <f t="shared" si="13"/>
        <v>5.0781400644322398E-2</v>
      </c>
      <c r="AI44" s="40">
        <f t="shared" si="14"/>
        <v>4.272535599187028E-2</v>
      </c>
      <c r="AJ44" s="41">
        <f t="shared" si="15"/>
        <v>0.12128028652962494</v>
      </c>
      <c r="AK44" s="42"/>
      <c r="AL44" s="48">
        <f t="shared" si="16"/>
        <v>7.5377664743177655E-2</v>
      </c>
      <c r="AM44" s="6">
        <f t="shared" si="17"/>
        <v>2.6127655003113936E-2</v>
      </c>
      <c r="AN44" s="41">
        <f t="shared" si="18"/>
        <v>6.6535032609346513E-3</v>
      </c>
      <c r="AO44" s="36"/>
      <c r="AP44" s="48">
        <f t="shared" si="19"/>
        <v>1.0912218476637507</v>
      </c>
      <c r="AQ44" s="6">
        <f t="shared" si="20"/>
        <v>0.94641218191873744</v>
      </c>
      <c r="AR44" s="6">
        <f t="shared" si="21"/>
        <v>-0.15599871894134204</v>
      </c>
      <c r="AS44" s="6">
        <f t="shared" si="22"/>
        <v>0.10189535004523391</v>
      </c>
      <c r="AT44" s="6">
        <f t="shared" si="23"/>
        <v>0.20175030832109278</v>
      </c>
      <c r="AU44" s="69">
        <v>3.16</v>
      </c>
      <c r="AV44" s="70">
        <v>1.4</v>
      </c>
      <c r="AW44" s="36"/>
      <c r="AX44" s="48">
        <f t="shared" si="24"/>
        <v>0.14059315442494799</v>
      </c>
      <c r="AY44" s="6">
        <v>0.1081</v>
      </c>
      <c r="AZ44" s="6">
        <f t="shared" si="25"/>
        <v>0.21558433055042797</v>
      </c>
      <c r="BA44" s="6">
        <f t="shared" si="26"/>
        <v>0.23799999999999999</v>
      </c>
      <c r="BB44" s="41">
        <f t="shared" si="27"/>
        <v>0.26050000000000001</v>
      </c>
      <c r="BC44" s="6"/>
      <c r="BD44" s="48">
        <v>0.22559999999999999</v>
      </c>
      <c r="BE44" s="6">
        <v>0.247</v>
      </c>
      <c r="BF44" s="41">
        <v>0.26879999999999998</v>
      </c>
      <c r="BG44" s="6"/>
      <c r="BH44" s="48"/>
      <c r="BI44" s="41">
        <v>2.7E-2</v>
      </c>
      <c r="BJ44" s="48"/>
      <c r="BK44" s="41"/>
      <c r="BL44" s="63"/>
      <c r="BM44" s="6"/>
      <c r="BN44" s="48"/>
      <c r="BO44" s="41">
        <f>BD44-(4.5%+2.5%+3%+2.5%+BI44)</f>
        <v>7.3599999999999999E-2</v>
      </c>
      <c r="BP44" s="6"/>
      <c r="BQ44" s="48"/>
      <c r="BR44" s="41">
        <f>BE44-(6%+2.5%+3%+2.5%+BI44)</f>
        <v>8.0000000000000016E-2</v>
      </c>
      <c r="BS44" s="6"/>
      <c r="BT44" s="48"/>
      <c r="BU44" s="41">
        <f>BF44-(8%+2.5%+3%+2.5%+BI44)</f>
        <v>8.1799999999999984E-2</v>
      </c>
      <c r="BV44" s="36"/>
      <c r="BW44" s="39">
        <f t="shared" si="28"/>
        <v>-3.4280146983647767E-3</v>
      </c>
      <c r="BX44" s="6">
        <f t="shared" si="29"/>
        <v>-0.10983405875952122</v>
      </c>
      <c r="BY44" s="40">
        <f t="shared" si="30"/>
        <v>5.895114145508854E-3</v>
      </c>
      <c r="BZ44" s="6">
        <f t="shared" si="31"/>
        <v>3.0072163440440777E-2</v>
      </c>
      <c r="CA44" s="6">
        <f t="shared" si="32"/>
        <v>0.74203780669938124</v>
      </c>
      <c r="CB44" s="41">
        <f t="shared" si="33"/>
        <v>0.786183780516859</v>
      </c>
      <c r="CC44" s="36"/>
      <c r="CD44" s="35">
        <v>75.415000000000006</v>
      </c>
      <c r="CE44" s="36">
        <v>374.87200000000001</v>
      </c>
      <c r="CF44" s="37">
        <f t="shared" si="34"/>
        <v>450.28700000000003</v>
      </c>
      <c r="CG44" s="33">
        <f t="shared" si="35"/>
        <v>2929.375</v>
      </c>
      <c r="CH44" s="36">
        <v>6.03</v>
      </c>
      <c r="CI44" s="36">
        <v>12.021000000000001</v>
      </c>
      <c r="CJ44" s="37">
        <f t="shared" si="36"/>
        <v>2911.3239999999996</v>
      </c>
      <c r="CK44" s="36">
        <v>346.69600000000003</v>
      </c>
      <c r="CL44" s="36">
        <v>243.55500000000001</v>
      </c>
      <c r="CM44" s="37">
        <f t="shared" si="37"/>
        <v>590.25099999999998</v>
      </c>
      <c r="CN44" s="36">
        <v>0</v>
      </c>
      <c r="CO44" s="36">
        <v>0</v>
      </c>
      <c r="CP44" s="36">
        <v>14.44</v>
      </c>
      <c r="CQ44" s="36">
        <v>-10.198999999999787</v>
      </c>
      <c r="CR44" s="37">
        <f t="shared" si="38"/>
        <v>3956.1030000000005</v>
      </c>
      <c r="CS44" s="36">
        <v>0</v>
      </c>
      <c r="CT44" s="33">
        <v>3196.598</v>
      </c>
      <c r="CU44" s="37">
        <f t="shared" si="39"/>
        <v>3196.598</v>
      </c>
      <c r="CV44" s="36">
        <v>100.699</v>
      </c>
      <c r="CW44" s="36">
        <v>22.306000000000154</v>
      </c>
      <c r="CX44" s="37">
        <f t="shared" si="40"/>
        <v>123.00500000000015</v>
      </c>
      <c r="CY44" s="36">
        <v>80.299000000000007</v>
      </c>
      <c r="CZ44" s="36">
        <v>556.20100000000002</v>
      </c>
      <c r="DA44" s="71">
        <f t="shared" si="41"/>
        <v>3956.1030000000001</v>
      </c>
      <c r="DB44" s="36"/>
      <c r="DC44" s="72">
        <v>798.1450000000001</v>
      </c>
      <c r="DD44" s="36"/>
      <c r="DE44" s="32">
        <v>90</v>
      </c>
      <c r="DF44" s="33">
        <v>50</v>
      </c>
      <c r="DG44" s="33">
        <v>0</v>
      </c>
      <c r="DH44" s="33">
        <v>0</v>
      </c>
      <c r="DI44" s="33">
        <v>40</v>
      </c>
      <c r="DJ44" s="33">
        <v>0</v>
      </c>
      <c r="DK44" s="34">
        <f t="shared" si="42"/>
        <v>180</v>
      </c>
      <c r="DL44" s="63">
        <f t="shared" si="43"/>
        <v>4.5499320922635228E-2</v>
      </c>
      <c r="DM44" s="63">
        <f t="shared" si="44"/>
        <v>0.1219405814257111</v>
      </c>
      <c r="DN44" s="36"/>
      <c r="DO44" s="65" t="s">
        <v>167</v>
      </c>
      <c r="DP44" s="59">
        <v>31</v>
      </c>
      <c r="DQ44" s="59">
        <v>10331</v>
      </c>
      <c r="DR44" s="73">
        <v>4</v>
      </c>
      <c r="DS44" s="59" t="s">
        <v>163</v>
      </c>
      <c r="DT44" s="75" t="s">
        <v>164</v>
      </c>
      <c r="DU44" s="59"/>
      <c r="DV44" s="63" t="s">
        <v>172</v>
      </c>
      <c r="DW44" s="64"/>
      <c r="DX44" s="32">
        <v>384.70290799999998</v>
      </c>
      <c r="DY44" s="33">
        <v>424.70290799999998</v>
      </c>
      <c r="DZ44" s="34">
        <v>464.85339299999998</v>
      </c>
      <c r="EA44" s="33"/>
      <c r="EB44" s="65">
        <f t="shared" si="45"/>
        <v>1737.329</v>
      </c>
      <c r="EC44" s="33">
        <v>1690.192</v>
      </c>
      <c r="ED44" s="34">
        <v>1784.4659999999999</v>
      </c>
      <c r="EE44" s="33"/>
      <c r="EF44" s="32">
        <v>20.440000000000001</v>
      </c>
      <c r="EG44" s="33">
        <v>58.838000000000001</v>
      </c>
      <c r="EH44" s="33">
        <v>113.575</v>
      </c>
      <c r="EI44" s="33">
        <v>63.88</v>
      </c>
      <c r="EJ44" s="33">
        <v>356.86599999999999</v>
      </c>
      <c r="EK44" s="33">
        <v>32.395000000000003</v>
      </c>
      <c r="EL44" s="33">
        <v>64.268000000000029</v>
      </c>
      <c r="EM44" s="34">
        <v>2087.317</v>
      </c>
      <c r="EN44" s="34">
        <f t="shared" si="46"/>
        <v>2797.5789999999997</v>
      </c>
      <c r="EO44" s="59"/>
      <c r="EP44" s="48">
        <f t="shared" si="74"/>
        <v>7.3063173551131183E-3</v>
      </c>
      <c r="EQ44" s="6">
        <f t="shared" si="74"/>
        <v>2.1031756386504192E-2</v>
      </c>
      <c r="ER44" s="6">
        <f t="shared" si="74"/>
        <v>4.0597602426955599E-2</v>
      </c>
      <c r="ES44" s="6">
        <f t="shared" si="74"/>
        <v>2.2834028994355479E-2</v>
      </c>
      <c r="ET44" s="6">
        <f t="shared" si="74"/>
        <v>0.12756243880869853</v>
      </c>
      <c r="EU44" s="6">
        <f t="shared" si="74"/>
        <v>1.1579655123233341E-2</v>
      </c>
      <c r="EV44" s="6">
        <f t="shared" si="74"/>
        <v>2.2972720341409496E-2</v>
      </c>
      <c r="EW44" s="6">
        <f t="shared" si="72"/>
        <v>0.74611548056373034</v>
      </c>
      <c r="EX44" s="63">
        <f t="shared" si="48"/>
        <v>1</v>
      </c>
      <c r="EY44" s="59"/>
      <c r="EZ44" s="35">
        <v>9.157</v>
      </c>
      <c r="FA44" s="36">
        <v>8.1119999999999983</v>
      </c>
      <c r="FB44" s="71">
        <f t="shared" si="49"/>
        <v>17.268999999999998</v>
      </c>
      <c r="FD44" s="35">
        <f t="shared" si="75"/>
        <v>6.03</v>
      </c>
      <c r="FE44" s="36">
        <f t="shared" si="75"/>
        <v>12.021000000000001</v>
      </c>
      <c r="FF44" s="71">
        <f t="shared" si="51"/>
        <v>18.051000000000002</v>
      </c>
      <c r="FH44" s="32">
        <f t="shared" si="52"/>
        <v>2173.7069999999999</v>
      </c>
      <c r="FI44" s="33">
        <f t="shared" si="53"/>
        <v>755.66800000000012</v>
      </c>
      <c r="FJ44" s="34">
        <f t="shared" si="54"/>
        <v>2929.375</v>
      </c>
      <c r="FL44" s="48">
        <v>0.74203780669938124</v>
      </c>
      <c r="FM44" s="6">
        <v>0.25796219330061876</v>
      </c>
      <c r="FN44" s="41">
        <f t="shared" si="55"/>
        <v>1</v>
      </c>
      <c r="FO44" s="59"/>
      <c r="FP44" s="65">
        <f t="shared" si="56"/>
        <v>525.46050000000002</v>
      </c>
      <c r="FQ44" s="33">
        <v>494.72</v>
      </c>
      <c r="FR44" s="34">
        <f t="shared" si="57"/>
        <v>556.20100000000002</v>
      </c>
      <c r="FT44" s="65">
        <f t="shared" si="58"/>
        <v>2826.7089999999998</v>
      </c>
      <c r="FU44" s="33">
        <v>2724.0430000000001</v>
      </c>
      <c r="FV44" s="34">
        <f t="shared" si="59"/>
        <v>2929.375</v>
      </c>
      <c r="FX44" s="65">
        <f t="shared" si="60"/>
        <v>662.4905</v>
      </c>
      <c r="FY44" s="33">
        <v>720.16200000000003</v>
      </c>
      <c r="FZ44" s="34">
        <f t="shared" si="61"/>
        <v>604.81899999999996</v>
      </c>
      <c r="GB44" s="65">
        <f t="shared" si="62"/>
        <v>3489.1994999999997</v>
      </c>
      <c r="GC44" s="59">
        <f t="shared" si="76"/>
        <v>3444.2049999999999</v>
      </c>
      <c r="GD44" s="73">
        <f t="shared" si="76"/>
        <v>3534.194</v>
      </c>
      <c r="GF44" s="65">
        <f t="shared" si="64"/>
        <v>3186.0339999999997</v>
      </c>
      <c r="GG44" s="33">
        <v>3175.47</v>
      </c>
      <c r="GH44" s="34">
        <f t="shared" si="65"/>
        <v>3196.598</v>
      </c>
      <c r="GI44" s="33"/>
      <c r="GJ44" s="65">
        <f t="shared" si="66"/>
        <v>3912.3254999999999</v>
      </c>
      <c r="GK44" s="33">
        <v>3868.5479999999998</v>
      </c>
      <c r="GL44" s="34">
        <f t="shared" si="67"/>
        <v>3956.1030000000001</v>
      </c>
      <c r="GM44" s="33"/>
      <c r="GN44" s="76">
        <f t="shared" si="68"/>
        <v>0.45106661783072882</v>
      </c>
      <c r="GO44" s="67"/>
    </row>
    <row r="45" spans="2:198" s="1" customFormat="1" x14ac:dyDescent="0.2">
      <c r="B45" s="77" t="s">
        <v>214</v>
      </c>
      <c r="C45" s="32">
        <v>18155.445</v>
      </c>
      <c r="D45" s="33">
        <v>17781.820500000002</v>
      </c>
      <c r="E45" s="33">
        <v>14982.56</v>
      </c>
      <c r="F45" s="33">
        <v>7261</v>
      </c>
      <c r="G45" s="33">
        <v>10900.315000000001</v>
      </c>
      <c r="H45" s="33">
        <v>25416.445</v>
      </c>
      <c r="I45" s="34">
        <v>22243.559999999998</v>
      </c>
      <c r="J45" s="33"/>
      <c r="K45" s="35">
        <v>226.345</v>
      </c>
      <c r="L45" s="36">
        <v>46.260000000000005</v>
      </c>
      <c r="M45" s="36">
        <v>0.58800000000000008</v>
      </c>
      <c r="N45" s="37">
        <f t="shared" si="0"/>
        <v>273.19300000000004</v>
      </c>
      <c r="O45" s="36">
        <v>101.855</v>
      </c>
      <c r="P45" s="37">
        <f t="shared" si="1"/>
        <v>171.33800000000002</v>
      </c>
      <c r="Q45" s="36">
        <v>15.901</v>
      </c>
      <c r="R45" s="37">
        <f t="shared" si="2"/>
        <v>155.43700000000001</v>
      </c>
      <c r="S45" s="36">
        <v>32.155000000000001</v>
      </c>
      <c r="T45" s="36">
        <v>1.8290000000000002</v>
      </c>
      <c r="U45" s="36">
        <v>-1</v>
      </c>
      <c r="V45" s="37">
        <f t="shared" si="3"/>
        <v>188.42100000000002</v>
      </c>
      <c r="W45" s="36">
        <v>38</v>
      </c>
      <c r="X45" s="38">
        <f t="shared" si="4"/>
        <v>150.42100000000002</v>
      </c>
      <c r="Y45" s="36"/>
      <c r="Z45" s="39">
        <f t="shared" si="5"/>
        <v>2.5458023265952996E-2</v>
      </c>
      <c r="AA45" s="40">
        <f t="shared" si="6"/>
        <v>5.2030668063486529E-3</v>
      </c>
      <c r="AB45" s="6">
        <f t="shared" si="7"/>
        <v>0.33158407042193905</v>
      </c>
      <c r="AC45" s="6">
        <f t="shared" si="8"/>
        <v>0.33357022151774363</v>
      </c>
      <c r="AD45" s="6">
        <f t="shared" si="9"/>
        <v>0.37283166113333793</v>
      </c>
      <c r="AE45" s="40">
        <f t="shared" si="10"/>
        <v>1.1456082351073107E-2</v>
      </c>
      <c r="AF45" s="40">
        <f t="shared" si="11"/>
        <v>1.6918515176778441E-2</v>
      </c>
      <c r="AG45" s="40">
        <f t="shared" si="12"/>
        <v>3.2476349442505999E-2</v>
      </c>
      <c r="AH45" s="40">
        <f t="shared" si="13"/>
        <v>4.4329641607449871E-2</v>
      </c>
      <c r="AI45" s="40">
        <f t="shared" si="14"/>
        <v>3.3559319033212152E-2</v>
      </c>
      <c r="AJ45" s="41">
        <f t="shared" si="15"/>
        <v>0.13783984082820652</v>
      </c>
      <c r="AK45" s="42"/>
      <c r="AL45" s="48">
        <f t="shared" si="16"/>
        <v>9.8156028784656027E-2</v>
      </c>
      <c r="AM45" s="6">
        <f t="shared" si="17"/>
        <v>6.4316740496608057E-2</v>
      </c>
      <c r="AN45" s="41">
        <f t="shared" si="18"/>
        <v>-9.1290091221340683E-4</v>
      </c>
      <c r="AO45" s="36"/>
      <c r="AP45" s="48">
        <f t="shared" si="19"/>
        <v>0.727533545669098</v>
      </c>
      <c r="AQ45" s="6">
        <f t="shared" si="20"/>
        <v>0.70077695274212526</v>
      </c>
      <c r="AR45" s="6">
        <f t="shared" si="21"/>
        <v>0.13530183369231658</v>
      </c>
      <c r="AS45" s="6">
        <f t="shared" si="22"/>
        <v>0.43838341610464521</v>
      </c>
      <c r="AT45" s="6">
        <f t="shared" si="23"/>
        <v>0.12105646542951715</v>
      </c>
      <c r="AU45" s="69">
        <v>1.59</v>
      </c>
      <c r="AV45" s="70">
        <v>1.38</v>
      </c>
      <c r="AW45" s="36"/>
      <c r="AX45" s="48">
        <f t="shared" si="24"/>
        <v>0.12656990781553412</v>
      </c>
      <c r="AY45" s="6">
        <v>0.10199999999999999</v>
      </c>
      <c r="AZ45" s="6">
        <f t="shared" si="25"/>
        <v>0.18401513808854908</v>
      </c>
      <c r="BA45" s="6">
        <f t="shared" si="26"/>
        <v>0.19696305978656231</v>
      </c>
      <c r="BB45" s="41">
        <f t="shared" si="27"/>
        <v>0.21767973450338352</v>
      </c>
      <c r="BC45" s="6"/>
      <c r="BD45" s="48">
        <v>0.17510000000000001</v>
      </c>
      <c r="BE45" s="6">
        <v>0.1865</v>
      </c>
      <c r="BF45" s="41">
        <v>0.20480000000000001</v>
      </c>
      <c r="BG45" s="6"/>
      <c r="BH45" s="48"/>
      <c r="BI45" s="78">
        <v>1.4999999999999999E-2</v>
      </c>
      <c r="BJ45" s="79">
        <f>BI45*56.25%</f>
        <v>8.4375000000000006E-3</v>
      </c>
      <c r="BK45" s="78">
        <f>BI45*75%</f>
        <v>1.125E-2</v>
      </c>
      <c r="BL45" s="80">
        <v>0.01</v>
      </c>
      <c r="BM45" s="6"/>
      <c r="BN45" s="48"/>
      <c r="BO45" s="78">
        <f>BD45-(4.5%+2.5%+3%+2.5%+BJ45)</f>
        <v>4.1662500000000019E-2</v>
      </c>
      <c r="BP45" s="6"/>
      <c r="BQ45" s="48"/>
      <c r="BR45" s="78">
        <f>BE45-(6%+2.5%+3%+2.5%+BK45)</f>
        <v>3.5250000000000004E-2</v>
      </c>
      <c r="BS45" s="6"/>
      <c r="BT45" s="48"/>
      <c r="BU45" s="41">
        <f>BF45-(8%+2.5%+3%+2.5%+BI45)</f>
        <v>2.9800000000000021E-2</v>
      </c>
      <c r="BV45" s="36"/>
      <c r="BW45" s="39">
        <f t="shared" si="28"/>
        <v>2.2219008353961478E-3</v>
      </c>
      <c r="BX45" s="6">
        <f t="shared" si="29"/>
        <v>7.7444209582996457E-2</v>
      </c>
      <c r="BY45" s="40">
        <f t="shared" si="30"/>
        <v>1.383575303552931E-2</v>
      </c>
      <c r="BZ45" s="6">
        <f t="shared" si="31"/>
        <v>8.6427834353078534E-2</v>
      </c>
      <c r="CA45" s="6">
        <f t="shared" si="32"/>
        <v>0.61444973355688215</v>
      </c>
      <c r="CB45" s="41">
        <f t="shared" si="33"/>
        <v>0.74030550865059375</v>
      </c>
      <c r="CC45" s="36"/>
      <c r="CD45" s="35">
        <v>42.226999999999997</v>
      </c>
      <c r="CE45" s="36">
        <v>483.12</v>
      </c>
      <c r="CF45" s="37">
        <f t="shared" si="34"/>
        <v>525.34699999999998</v>
      </c>
      <c r="CG45" s="33">
        <f t="shared" si="35"/>
        <v>14982.56</v>
      </c>
      <c r="CH45" s="36">
        <v>54.902000000000001</v>
      </c>
      <c r="CI45" s="36">
        <v>45.64</v>
      </c>
      <c r="CJ45" s="37">
        <f t="shared" si="36"/>
        <v>14882.018</v>
      </c>
      <c r="CK45" s="36">
        <v>1672.4870000000001</v>
      </c>
      <c r="CL45" s="36">
        <v>582.27200000000005</v>
      </c>
      <c r="CM45" s="37">
        <f t="shared" si="37"/>
        <v>2254.759</v>
      </c>
      <c r="CN45" s="36">
        <v>290.97800000000001</v>
      </c>
      <c r="CO45" s="36">
        <v>0</v>
      </c>
      <c r="CP45" s="36">
        <v>83.075000000000003</v>
      </c>
      <c r="CQ45" s="36">
        <v>119.26799999999808</v>
      </c>
      <c r="CR45" s="37">
        <f t="shared" si="38"/>
        <v>18155.444999999996</v>
      </c>
      <c r="CS45" s="36">
        <v>5.2999999999999999E-2</v>
      </c>
      <c r="CT45" s="33">
        <v>10900.315000000001</v>
      </c>
      <c r="CU45" s="37">
        <f t="shared" si="39"/>
        <v>10900.368</v>
      </c>
      <c r="CV45" s="36">
        <v>4328.4930000000004</v>
      </c>
      <c r="CW45" s="36">
        <v>302.89799999999877</v>
      </c>
      <c r="CX45" s="37">
        <f t="shared" si="40"/>
        <v>4631.3909999999996</v>
      </c>
      <c r="CY45" s="36">
        <v>325.75299999999999</v>
      </c>
      <c r="CZ45" s="36">
        <v>2297.933</v>
      </c>
      <c r="DA45" s="71">
        <f t="shared" si="41"/>
        <v>18155.445</v>
      </c>
      <c r="DB45" s="36"/>
      <c r="DC45" s="72">
        <v>2197.8339999999998</v>
      </c>
      <c r="DD45" s="36"/>
      <c r="DE45" s="32">
        <v>395</v>
      </c>
      <c r="DF45" s="33">
        <v>1000</v>
      </c>
      <c r="DG45" s="33">
        <v>1000</v>
      </c>
      <c r="DH45" s="33">
        <v>1050</v>
      </c>
      <c r="DI45" s="33">
        <v>1200</v>
      </c>
      <c r="DJ45" s="33">
        <v>0</v>
      </c>
      <c r="DK45" s="34">
        <f t="shared" si="42"/>
        <v>4645</v>
      </c>
      <c r="DL45" s="63">
        <f t="shared" si="43"/>
        <v>0.25584611118042</v>
      </c>
      <c r="DM45" s="63">
        <f t="shared" si="44"/>
        <v>0.45581366912240379</v>
      </c>
      <c r="DN45" s="36"/>
      <c r="DO45" s="65" t="s">
        <v>168</v>
      </c>
      <c r="DP45" s="59">
        <v>88</v>
      </c>
      <c r="DQ45" s="59">
        <v>40658</v>
      </c>
      <c r="DR45" s="73">
        <v>5</v>
      </c>
      <c r="DS45" s="59" t="s">
        <v>163</v>
      </c>
      <c r="DT45" s="75" t="s">
        <v>164</v>
      </c>
      <c r="DU45" s="62" t="s">
        <v>170</v>
      </c>
      <c r="DV45" s="63">
        <v>0.48484438205824854</v>
      </c>
      <c r="DW45" s="64"/>
      <c r="DX45" s="32">
        <v>1776.4929999999999</v>
      </c>
      <c r="DY45" s="33">
        <v>1901.4929999999999</v>
      </c>
      <c r="DZ45" s="34">
        <v>2101.4929999999999</v>
      </c>
      <c r="EA45" s="33"/>
      <c r="EB45" s="65">
        <f t="shared" si="45"/>
        <v>9263.4179999999997</v>
      </c>
      <c r="EC45" s="33">
        <v>8872.777</v>
      </c>
      <c r="ED45" s="34">
        <v>9654.0589999999993</v>
      </c>
      <c r="EE45" s="33"/>
      <c r="EF45" s="32">
        <v>1109.9459999999999</v>
      </c>
      <c r="EG45" s="33">
        <v>72.673000000000002</v>
      </c>
      <c r="EH45" s="33">
        <v>1633.902</v>
      </c>
      <c r="EI45" s="33">
        <v>143.28100000000001</v>
      </c>
      <c r="EJ45" s="33">
        <v>1914.9290000000001</v>
      </c>
      <c r="EK45" s="33">
        <v>96.278000000000006</v>
      </c>
      <c r="EL45" s="33">
        <v>408.36799999999903</v>
      </c>
      <c r="EM45" s="34">
        <v>8732.19</v>
      </c>
      <c r="EN45" s="34">
        <f t="shared" si="46"/>
        <v>14111.566999999999</v>
      </c>
      <c r="EO45" s="59"/>
      <c r="EP45" s="48">
        <f t="shared" si="74"/>
        <v>7.8655049435686339E-2</v>
      </c>
      <c r="EQ45" s="6">
        <f t="shared" si="74"/>
        <v>5.1498887402086531E-3</v>
      </c>
      <c r="ER45" s="6">
        <f t="shared" si="74"/>
        <v>0.11578459004588224</v>
      </c>
      <c r="ES45" s="6">
        <f t="shared" si="74"/>
        <v>1.0153443625360671E-2</v>
      </c>
      <c r="ET45" s="6">
        <f t="shared" si="74"/>
        <v>0.13569924587396992</v>
      </c>
      <c r="EU45" s="6">
        <f t="shared" si="74"/>
        <v>6.8226299744032683E-3</v>
      </c>
      <c r="EV45" s="6">
        <f t="shared" si="74"/>
        <v>2.8938529647345262E-2</v>
      </c>
      <c r="EW45" s="6">
        <f t="shared" si="72"/>
        <v>0.61879662265714364</v>
      </c>
      <c r="EX45" s="63">
        <f t="shared" si="48"/>
        <v>1</v>
      </c>
      <c r="EY45" s="59"/>
      <c r="EZ45" s="35">
        <v>95.826999999999998</v>
      </c>
      <c r="FA45" s="36">
        <v>111.468</v>
      </c>
      <c r="FB45" s="71">
        <f t="shared" si="49"/>
        <v>207.29500000000002</v>
      </c>
      <c r="FD45" s="35">
        <f t="shared" si="75"/>
        <v>54.902000000000001</v>
      </c>
      <c r="FE45" s="36">
        <f t="shared" si="75"/>
        <v>45.64</v>
      </c>
      <c r="FF45" s="71">
        <f t="shared" si="51"/>
        <v>100.542</v>
      </c>
      <c r="FH45" s="32">
        <f t="shared" si="52"/>
        <v>9206.0300000000007</v>
      </c>
      <c r="FI45" s="33">
        <f t="shared" si="53"/>
        <v>5776.53</v>
      </c>
      <c r="FJ45" s="34">
        <f t="shared" si="54"/>
        <v>14982.560000000001</v>
      </c>
      <c r="FL45" s="48">
        <v>0.61444973355688215</v>
      </c>
      <c r="FM45" s="6">
        <v>0.38555026644311785</v>
      </c>
      <c r="FN45" s="41">
        <f t="shared" si="55"/>
        <v>1</v>
      </c>
      <c r="FO45" s="59"/>
      <c r="FP45" s="65">
        <f t="shared" si="56"/>
        <v>2182.5474999999997</v>
      </c>
      <c r="FQ45" s="33">
        <v>2067.1619999999998</v>
      </c>
      <c r="FR45" s="34">
        <f t="shared" si="57"/>
        <v>2297.933</v>
      </c>
      <c r="FT45" s="65">
        <f t="shared" si="58"/>
        <v>14312.97</v>
      </c>
      <c r="FU45" s="33">
        <v>13643.38</v>
      </c>
      <c r="FV45" s="34">
        <f t="shared" si="59"/>
        <v>14982.56</v>
      </c>
      <c r="FX45" s="65">
        <f t="shared" si="60"/>
        <v>7258.5</v>
      </c>
      <c r="FY45" s="33">
        <v>7256</v>
      </c>
      <c r="FZ45" s="34">
        <f t="shared" si="61"/>
        <v>7261</v>
      </c>
      <c r="GB45" s="65">
        <f t="shared" si="62"/>
        <v>21571.469999999998</v>
      </c>
      <c r="GC45" s="59">
        <f t="shared" si="76"/>
        <v>20899.379999999997</v>
      </c>
      <c r="GD45" s="73">
        <f t="shared" si="76"/>
        <v>22243.559999999998</v>
      </c>
      <c r="GF45" s="65">
        <f t="shared" si="64"/>
        <v>10905.295</v>
      </c>
      <c r="GG45" s="33">
        <v>10910.275</v>
      </c>
      <c r="GH45" s="34">
        <f t="shared" si="65"/>
        <v>10900.315000000001</v>
      </c>
      <c r="GI45" s="33"/>
      <c r="GJ45" s="65">
        <f t="shared" si="66"/>
        <v>17781.820500000002</v>
      </c>
      <c r="GK45" s="33">
        <v>17408.196</v>
      </c>
      <c r="GL45" s="34">
        <f t="shared" si="67"/>
        <v>18155.445</v>
      </c>
      <c r="GM45" s="33"/>
      <c r="GN45" s="76">
        <f t="shared" si="68"/>
        <v>0.53174455376885554</v>
      </c>
      <c r="GO45" s="67"/>
    </row>
    <row r="46" spans="2:198" s="1" customFormat="1" x14ac:dyDescent="0.2">
      <c r="B46" s="77" t="s">
        <v>215</v>
      </c>
      <c r="C46" s="32">
        <v>4000.4160000000002</v>
      </c>
      <c r="D46" s="33">
        <v>3798.1835000000001</v>
      </c>
      <c r="E46" s="33">
        <v>3187.549</v>
      </c>
      <c r="F46" s="33">
        <v>1560.625</v>
      </c>
      <c r="G46" s="33">
        <v>2611.1950000000002</v>
      </c>
      <c r="H46" s="33">
        <v>5561.0410000000002</v>
      </c>
      <c r="I46" s="34">
        <v>4748.174</v>
      </c>
      <c r="J46" s="33"/>
      <c r="K46" s="35">
        <v>46.94</v>
      </c>
      <c r="L46" s="36">
        <v>18.344999999999999</v>
      </c>
      <c r="M46" s="36">
        <v>1.3440000000000001</v>
      </c>
      <c r="N46" s="37">
        <f t="shared" si="0"/>
        <v>66.628999999999991</v>
      </c>
      <c r="O46" s="36">
        <v>33.006999999999998</v>
      </c>
      <c r="P46" s="37">
        <f t="shared" si="1"/>
        <v>33.621999999999993</v>
      </c>
      <c r="Q46" s="36">
        <v>1.08</v>
      </c>
      <c r="R46" s="37">
        <f t="shared" si="2"/>
        <v>32.541999999999994</v>
      </c>
      <c r="S46" s="36">
        <v>7.7919999999999998</v>
      </c>
      <c r="T46" s="36">
        <v>0.182</v>
      </c>
      <c r="U46" s="36">
        <v>-0.5</v>
      </c>
      <c r="V46" s="37">
        <f t="shared" si="3"/>
        <v>40.015999999999998</v>
      </c>
      <c r="W46" s="36">
        <v>7.8540000000000001</v>
      </c>
      <c r="X46" s="38">
        <f t="shared" si="4"/>
        <v>32.161999999999999</v>
      </c>
      <c r="Y46" s="36"/>
      <c r="Z46" s="39">
        <f t="shared" si="5"/>
        <v>2.471707857190154E-2</v>
      </c>
      <c r="AA46" s="40">
        <f t="shared" si="6"/>
        <v>9.6598808351413233E-3</v>
      </c>
      <c r="AB46" s="6">
        <f t="shared" si="7"/>
        <v>0.44243529080599975</v>
      </c>
      <c r="AC46" s="6">
        <f t="shared" si="8"/>
        <v>0.44351728678733154</v>
      </c>
      <c r="AD46" s="6">
        <f t="shared" si="9"/>
        <v>0.49538489246424233</v>
      </c>
      <c r="AE46" s="40">
        <f t="shared" si="10"/>
        <v>1.7380413558218025E-2</v>
      </c>
      <c r="AF46" s="40">
        <f t="shared" si="11"/>
        <v>1.693546401852359E-2</v>
      </c>
      <c r="AG46" s="40">
        <f t="shared" si="12"/>
        <v>3.3212014442610349E-2</v>
      </c>
      <c r="AH46" s="40">
        <f t="shared" si="13"/>
        <v>4.2954012584877181E-2</v>
      </c>
      <c r="AI46" s="40">
        <f t="shared" si="14"/>
        <v>3.3604420558156385E-2</v>
      </c>
      <c r="AJ46" s="41">
        <f t="shared" si="15"/>
        <v>0.10586979581995024</v>
      </c>
      <c r="AK46" s="42"/>
      <c r="AL46" s="48">
        <f t="shared" si="16"/>
        <v>7.963831740912472E-2</v>
      </c>
      <c r="AM46" s="6">
        <f t="shared" si="17"/>
        <v>0.1337149651815657</v>
      </c>
      <c r="AN46" s="41">
        <f t="shared" si="18"/>
        <v>3.7565737059708205E-2</v>
      </c>
      <c r="AO46" s="36"/>
      <c r="AP46" s="48">
        <f t="shared" si="19"/>
        <v>0.81918583839809211</v>
      </c>
      <c r="AQ46" s="6">
        <f t="shared" si="20"/>
        <v>0.78619217244715123</v>
      </c>
      <c r="AR46" s="6">
        <f t="shared" si="21"/>
        <v>4.4916328701815035E-2</v>
      </c>
      <c r="AS46" s="6">
        <f t="shared" si="22"/>
        <v>0.36591356998872121</v>
      </c>
      <c r="AT46" s="6">
        <f t="shared" si="23"/>
        <v>0.13259620999416058</v>
      </c>
      <c r="AU46" s="69">
        <v>1.6</v>
      </c>
      <c r="AV46" s="70">
        <v>1.31</v>
      </c>
      <c r="AW46" s="36"/>
      <c r="AX46" s="48">
        <f t="shared" si="24"/>
        <v>0.1607010370921424</v>
      </c>
      <c r="AY46" s="6">
        <v>0.1195</v>
      </c>
      <c r="AZ46" s="6">
        <f t="shared" si="25"/>
        <v>0.23572680859642917</v>
      </c>
      <c r="BA46" s="6">
        <f t="shared" si="26"/>
        <v>0.23572680859642917</v>
      </c>
      <c r="BB46" s="41">
        <f t="shared" si="27"/>
        <v>0.24882147960887949</v>
      </c>
      <c r="BC46" s="6"/>
      <c r="BD46" s="48">
        <v>0.2238</v>
      </c>
      <c r="BE46" s="6">
        <v>0.2283</v>
      </c>
      <c r="BF46" s="41">
        <v>0.24310000000000001</v>
      </c>
      <c r="BG46" s="6"/>
      <c r="BH46" s="48"/>
      <c r="BI46" s="41"/>
      <c r="BJ46" s="48"/>
      <c r="BK46" s="41"/>
      <c r="BL46" s="63"/>
      <c r="BM46" s="6"/>
      <c r="BN46" s="48"/>
      <c r="BO46" s="41"/>
      <c r="BP46" s="6"/>
      <c r="BQ46" s="48"/>
      <c r="BR46" s="41"/>
      <c r="BS46" s="6"/>
      <c r="BT46" s="48"/>
      <c r="BU46" s="41"/>
      <c r="BV46" s="36"/>
      <c r="BW46" s="39">
        <f t="shared" si="28"/>
        <v>7.0358627042598897E-4</v>
      </c>
      <c r="BX46" s="6">
        <f t="shared" si="29"/>
        <v>2.596403500336571E-2</v>
      </c>
      <c r="BY46" s="40">
        <f t="shared" si="30"/>
        <v>9.395306550581654E-3</v>
      </c>
      <c r="BZ46" s="6">
        <f t="shared" si="31"/>
        <v>4.576433841282649E-2</v>
      </c>
      <c r="CA46" s="6">
        <f t="shared" si="32"/>
        <v>0.66808980818804664</v>
      </c>
      <c r="CB46" s="41">
        <f t="shared" si="33"/>
        <v>0.77718171238038036</v>
      </c>
      <c r="CC46" s="36"/>
      <c r="CD46" s="35">
        <v>50.112000000000002</v>
      </c>
      <c r="CE46" s="36">
        <v>101.136</v>
      </c>
      <c r="CF46" s="37">
        <f t="shared" si="34"/>
        <v>151.24799999999999</v>
      </c>
      <c r="CG46" s="33">
        <f t="shared" si="35"/>
        <v>3187.549</v>
      </c>
      <c r="CH46" s="36">
        <v>2.181</v>
      </c>
      <c r="CI46" s="36">
        <v>9.3440000000000012</v>
      </c>
      <c r="CJ46" s="37">
        <f t="shared" si="36"/>
        <v>3176.0239999999999</v>
      </c>
      <c r="CK46" s="36">
        <v>372.976</v>
      </c>
      <c r="CL46" s="36">
        <v>231.66</v>
      </c>
      <c r="CM46" s="37">
        <f t="shared" si="37"/>
        <v>604.63599999999997</v>
      </c>
      <c r="CN46" s="36">
        <v>8.31</v>
      </c>
      <c r="CO46" s="36">
        <v>0</v>
      </c>
      <c r="CP46" s="36">
        <v>53.295999999999999</v>
      </c>
      <c r="CQ46" s="36">
        <v>6.9020000000002639</v>
      </c>
      <c r="CR46" s="37">
        <f t="shared" si="38"/>
        <v>4000.4159999999997</v>
      </c>
      <c r="CS46" s="36">
        <v>50.03</v>
      </c>
      <c r="CT46" s="33">
        <v>2611.1950000000002</v>
      </c>
      <c r="CU46" s="37">
        <f t="shared" si="39"/>
        <v>2661.2250000000004</v>
      </c>
      <c r="CV46" s="36">
        <v>633.46400000000006</v>
      </c>
      <c r="CW46" s="36">
        <v>36.225999999999772</v>
      </c>
      <c r="CX46" s="37">
        <f t="shared" si="40"/>
        <v>669.68999999999983</v>
      </c>
      <c r="CY46" s="36">
        <v>26.63</v>
      </c>
      <c r="CZ46" s="36">
        <v>642.87099999999998</v>
      </c>
      <c r="DA46" s="71">
        <f t="shared" si="41"/>
        <v>4000.4160000000002</v>
      </c>
      <c r="DB46" s="36"/>
      <c r="DC46" s="72">
        <v>530.43999999999994</v>
      </c>
      <c r="DD46" s="36"/>
      <c r="DE46" s="32">
        <v>125</v>
      </c>
      <c r="DF46" s="33">
        <v>155</v>
      </c>
      <c r="DG46" s="33">
        <v>125</v>
      </c>
      <c r="DH46" s="33">
        <v>125</v>
      </c>
      <c r="DI46" s="33">
        <v>150</v>
      </c>
      <c r="DJ46" s="33">
        <v>26.5</v>
      </c>
      <c r="DK46" s="34">
        <f t="shared" si="42"/>
        <v>706.5</v>
      </c>
      <c r="DL46" s="63">
        <f t="shared" si="43"/>
        <v>0.17660663291017734</v>
      </c>
      <c r="DM46" s="63">
        <f t="shared" si="44"/>
        <v>0.37166447189492291</v>
      </c>
      <c r="DN46" s="36"/>
      <c r="DO46" s="65" t="s">
        <v>187</v>
      </c>
      <c r="DP46" s="59">
        <v>27</v>
      </c>
      <c r="DQ46" s="59">
        <v>7935</v>
      </c>
      <c r="DR46" s="73">
        <v>3</v>
      </c>
      <c r="DS46" s="59" t="s">
        <v>163</v>
      </c>
      <c r="DT46" s="75" t="s">
        <v>164</v>
      </c>
      <c r="DU46" s="59"/>
      <c r="DV46" s="63" t="s">
        <v>172</v>
      </c>
      <c r="DW46" s="64"/>
      <c r="DX46" s="32">
        <v>477.04599999999999</v>
      </c>
      <c r="DY46" s="33">
        <v>477.04599999999999</v>
      </c>
      <c r="DZ46" s="34">
        <v>503.54599999999999</v>
      </c>
      <c r="EA46" s="33"/>
      <c r="EB46" s="65">
        <f t="shared" si="45"/>
        <v>1936.769</v>
      </c>
      <c r="EC46" s="33">
        <v>1849.8140000000001</v>
      </c>
      <c r="ED46" s="34">
        <v>2023.7239999999999</v>
      </c>
      <c r="EE46" s="33"/>
      <c r="EF46" s="32">
        <v>315.48700000000002</v>
      </c>
      <c r="EG46" s="33">
        <v>45.204000000000001</v>
      </c>
      <c r="EH46" s="33">
        <v>106.687</v>
      </c>
      <c r="EI46" s="33">
        <v>61.622</v>
      </c>
      <c r="EJ46" s="33">
        <v>398.88799999999998</v>
      </c>
      <c r="EK46" s="33">
        <v>14.692</v>
      </c>
      <c r="EL46" s="33">
        <v>83.246999999999844</v>
      </c>
      <c r="EM46" s="34">
        <v>2052.116</v>
      </c>
      <c r="EN46" s="34">
        <f t="shared" si="46"/>
        <v>3077.9429999999998</v>
      </c>
      <c r="EO46" s="59"/>
      <c r="EP46" s="48">
        <f t="shared" si="74"/>
        <v>0.10249929904484913</v>
      </c>
      <c r="EQ46" s="6">
        <f t="shared" si="74"/>
        <v>1.468643181501412E-2</v>
      </c>
      <c r="ER46" s="6">
        <f t="shared" si="74"/>
        <v>3.4661785484656475E-2</v>
      </c>
      <c r="ES46" s="6">
        <f t="shared" si="74"/>
        <v>2.0020513700221221E-2</v>
      </c>
      <c r="ET46" s="6">
        <f t="shared" si="74"/>
        <v>0.12959564228447376</v>
      </c>
      <c r="EU46" s="6">
        <f t="shared" si="74"/>
        <v>4.773317764494015E-3</v>
      </c>
      <c r="EV46" s="6">
        <f t="shared" si="74"/>
        <v>2.7046309824450891E-2</v>
      </c>
      <c r="EW46" s="6">
        <f t="shared" si="72"/>
        <v>0.66671670008184047</v>
      </c>
      <c r="EX46" s="63">
        <f t="shared" si="48"/>
        <v>1</v>
      </c>
      <c r="EY46" s="59"/>
      <c r="EZ46" s="35">
        <v>13.294</v>
      </c>
      <c r="FA46" s="36">
        <v>16.654</v>
      </c>
      <c r="FB46" s="71">
        <f t="shared" si="49"/>
        <v>29.948</v>
      </c>
      <c r="FD46" s="35">
        <f t="shared" si="75"/>
        <v>2.181</v>
      </c>
      <c r="FE46" s="36">
        <f t="shared" si="75"/>
        <v>9.3440000000000012</v>
      </c>
      <c r="FF46" s="71">
        <f t="shared" si="51"/>
        <v>11.525000000000002</v>
      </c>
      <c r="FH46" s="32">
        <f t="shared" si="52"/>
        <v>2129.569</v>
      </c>
      <c r="FI46" s="33">
        <f t="shared" si="53"/>
        <v>1057.98</v>
      </c>
      <c r="FJ46" s="34">
        <f t="shared" si="54"/>
        <v>3187.549</v>
      </c>
      <c r="FL46" s="48">
        <v>0.66808980818804664</v>
      </c>
      <c r="FM46" s="6">
        <v>0.33191019181195336</v>
      </c>
      <c r="FN46" s="41">
        <f t="shared" si="55"/>
        <v>1</v>
      </c>
      <c r="FO46" s="59"/>
      <c r="FP46" s="65">
        <f t="shared" si="56"/>
        <v>607.57650000000001</v>
      </c>
      <c r="FQ46" s="33">
        <v>572.28200000000004</v>
      </c>
      <c r="FR46" s="34">
        <f t="shared" si="57"/>
        <v>642.87099999999998</v>
      </c>
      <c r="FT46" s="65">
        <f t="shared" si="58"/>
        <v>3069.9859999999999</v>
      </c>
      <c r="FU46" s="33">
        <v>2952.4229999999998</v>
      </c>
      <c r="FV46" s="34">
        <f t="shared" si="59"/>
        <v>3187.549</v>
      </c>
      <c r="FX46" s="65">
        <f t="shared" si="60"/>
        <v>1398.1785</v>
      </c>
      <c r="FY46" s="33">
        <v>1235.732</v>
      </c>
      <c r="FZ46" s="34">
        <f t="shared" si="61"/>
        <v>1560.625</v>
      </c>
      <c r="GB46" s="65">
        <f t="shared" si="62"/>
        <v>4468.1644999999999</v>
      </c>
      <c r="GC46" s="59">
        <f t="shared" si="76"/>
        <v>4188.1549999999997</v>
      </c>
      <c r="GD46" s="73">
        <f t="shared" si="76"/>
        <v>4748.174</v>
      </c>
      <c r="GF46" s="65">
        <f t="shared" si="64"/>
        <v>2563.9250000000002</v>
      </c>
      <c r="GG46" s="33">
        <v>2516.6550000000002</v>
      </c>
      <c r="GH46" s="34">
        <f t="shared" si="65"/>
        <v>2611.1950000000002</v>
      </c>
      <c r="GI46" s="33"/>
      <c r="GJ46" s="65">
        <f t="shared" si="66"/>
        <v>3798.1835000000001</v>
      </c>
      <c r="GK46" s="33">
        <v>3595.951</v>
      </c>
      <c r="GL46" s="34">
        <f t="shared" si="67"/>
        <v>4000.4160000000002</v>
      </c>
      <c r="GM46" s="33"/>
      <c r="GN46" s="76">
        <f t="shared" si="68"/>
        <v>0.50587838864758061</v>
      </c>
      <c r="GO46" s="67"/>
      <c r="GP46" s="5"/>
    </row>
    <row r="47" spans="2:198" s="1" customFormat="1" x14ac:dyDescent="0.2">
      <c r="B47" s="77" t="s">
        <v>216</v>
      </c>
      <c r="C47" s="32">
        <v>7991.1180000000004</v>
      </c>
      <c r="D47" s="33">
        <v>7608.0084999999999</v>
      </c>
      <c r="E47" s="33">
        <v>6726.2939999999999</v>
      </c>
      <c r="F47" s="33">
        <v>1038.1010000000001</v>
      </c>
      <c r="G47" s="33">
        <v>5480.4920000000002</v>
      </c>
      <c r="H47" s="33">
        <v>9029.219000000001</v>
      </c>
      <c r="I47" s="34">
        <v>7764.3950000000004</v>
      </c>
      <c r="J47" s="33"/>
      <c r="K47" s="35">
        <v>92.284999999999997</v>
      </c>
      <c r="L47" s="36">
        <v>20.542000000000002</v>
      </c>
      <c r="M47" s="36">
        <v>0.61799999999999999</v>
      </c>
      <c r="N47" s="37">
        <f t="shared" si="0"/>
        <v>113.44499999999999</v>
      </c>
      <c r="O47" s="36">
        <v>64.561999999999998</v>
      </c>
      <c r="P47" s="37">
        <f t="shared" si="1"/>
        <v>48.882999999999996</v>
      </c>
      <c r="Q47" s="36">
        <v>2.6749999999999998</v>
      </c>
      <c r="R47" s="37">
        <f t="shared" si="2"/>
        <v>46.207999999999998</v>
      </c>
      <c r="S47" s="36">
        <v>8.4130000000000003</v>
      </c>
      <c r="T47" s="36">
        <v>-1.077</v>
      </c>
      <c r="U47" s="36">
        <v>-13.5</v>
      </c>
      <c r="V47" s="37">
        <f t="shared" si="3"/>
        <v>40.043999999999997</v>
      </c>
      <c r="W47" s="36">
        <v>8.4499999999999993</v>
      </c>
      <c r="X47" s="38">
        <f t="shared" si="4"/>
        <v>31.593999999999998</v>
      </c>
      <c r="Y47" s="36"/>
      <c r="Z47" s="39">
        <f t="shared" si="5"/>
        <v>2.4259962380431092E-2</v>
      </c>
      <c r="AA47" s="40">
        <f t="shared" si="6"/>
        <v>5.4000991192373147E-3</v>
      </c>
      <c r="AB47" s="6">
        <f t="shared" si="7"/>
        <v>0.53453771702502884</v>
      </c>
      <c r="AC47" s="6">
        <f t="shared" si="8"/>
        <v>0.52981338935482281</v>
      </c>
      <c r="AD47" s="6">
        <f t="shared" si="9"/>
        <v>0.56910397108731103</v>
      </c>
      <c r="AE47" s="40">
        <f t="shared" si="10"/>
        <v>1.6972115633151565E-2</v>
      </c>
      <c r="AF47" s="40">
        <f t="shared" si="11"/>
        <v>8.3054586492641268E-3</v>
      </c>
      <c r="AG47" s="40">
        <f t="shared" si="12"/>
        <v>1.627883101464072E-2</v>
      </c>
      <c r="AH47" s="40">
        <f t="shared" si="13"/>
        <v>2.8966879813005209E-2</v>
      </c>
      <c r="AI47" s="40">
        <f t="shared" si="14"/>
        <v>2.3808704928926963E-2</v>
      </c>
      <c r="AJ47" s="41">
        <f t="shared" si="15"/>
        <v>7.9050612007966606E-2</v>
      </c>
      <c r="AK47" s="42"/>
      <c r="AL47" s="48">
        <f t="shared" si="16"/>
        <v>0.18012921902756757</v>
      </c>
      <c r="AM47" s="6">
        <f t="shared" si="17"/>
        <v>0.12234126053731462</v>
      </c>
      <c r="AN47" s="41">
        <f t="shared" si="18"/>
        <v>1.8626364404658001E-2</v>
      </c>
      <c r="AO47" s="36"/>
      <c r="AP47" s="48">
        <f t="shared" si="19"/>
        <v>0.81478627012140714</v>
      </c>
      <c r="AQ47" s="6">
        <f t="shared" si="20"/>
        <v>0.77371469714188912</v>
      </c>
      <c r="AR47" s="6">
        <f t="shared" si="21"/>
        <v>8.2035204585891461E-2</v>
      </c>
      <c r="AS47" s="6">
        <f t="shared" si="22"/>
        <v>0.24601495059890244</v>
      </c>
      <c r="AT47" s="6">
        <f t="shared" si="23"/>
        <v>0.11854473929680429</v>
      </c>
      <c r="AU47" s="69">
        <v>3.5417000000000001</v>
      </c>
      <c r="AV47" s="70">
        <v>1.3</v>
      </c>
      <c r="AW47" s="36"/>
      <c r="AX47" s="48">
        <f t="shared" si="24"/>
        <v>0.10859882184195002</v>
      </c>
      <c r="AY47" s="6">
        <v>9.8299999999999998E-2</v>
      </c>
      <c r="AZ47" s="6">
        <f t="shared" si="25"/>
        <v>0.1775685518809465</v>
      </c>
      <c r="BA47" s="6">
        <f t="shared" si="26"/>
        <v>0.1960882455997825</v>
      </c>
      <c r="BB47" s="41">
        <f t="shared" si="27"/>
        <v>0.21584258556654087</v>
      </c>
      <c r="BC47" s="6"/>
      <c r="BD47" s="48">
        <v>0.1774</v>
      </c>
      <c r="BE47" s="6">
        <v>0.19600000000000001</v>
      </c>
      <c r="BF47" s="41">
        <v>0.21579999999999999</v>
      </c>
      <c r="BG47" s="6"/>
      <c r="BH47" s="48"/>
      <c r="BI47" s="41">
        <v>2.5999999999999999E-2</v>
      </c>
      <c r="BJ47" s="48"/>
      <c r="BK47" s="41"/>
      <c r="BL47" s="63"/>
      <c r="BM47" s="6"/>
      <c r="BN47" s="48"/>
      <c r="BO47" s="41">
        <f>BD47-(4.5%+2.5%+3%+2.5%+BI47)</f>
        <v>2.6400000000000007E-2</v>
      </c>
      <c r="BP47" s="6"/>
      <c r="BQ47" s="48"/>
      <c r="BR47" s="41">
        <f>BE47-(6%+2.5%+3%+2.5%+BI47)</f>
        <v>3.0000000000000027E-2</v>
      </c>
      <c r="BS47" s="6"/>
      <c r="BT47" s="48"/>
      <c r="BU47" s="41">
        <f>BF47-(8%+2.5%+3%+2.5%+BI47)</f>
        <v>2.9799999999999993E-2</v>
      </c>
      <c r="BV47" s="36"/>
      <c r="BW47" s="39">
        <f t="shared" si="28"/>
        <v>8.6110331155385769E-4</v>
      </c>
      <c r="BX47" s="6">
        <f t="shared" si="29"/>
        <v>4.7581778402319502E-2</v>
      </c>
      <c r="BY47" s="40">
        <f t="shared" si="30"/>
        <v>1.5190237001237235E-2</v>
      </c>
      <c r="BZ47" s="6">
        <f t="shared" si="31"/>
        <v>0.11276525063543165</v>
      </c>
      <c r="CA47" s="6">
        <f t="shared" si="32"/>
        <v>0.70956473207980508</v>
      </c>
      <c r="CB47" s="41">
        <f t="shared" si="33"/>
        <v>0.74839597933902124</v>
      </c>
      <c r="CC47" s="36"/>
      <c r="CD47" s="35">
        <v>95.825999999999993</v>
      </c>
      <c r="CE47" s="36">
        <v>296.98</v>
      </c>
      <c r="CF47" s="37">
        <f t="shared" si="34"/>
        <v>392.80600000000004</v>
      </c>
      <c r="CG47" s="33">
        <f t="shared" si="35"/>
        <v>6726.2939999999999</v>
      </c>
      <c r="CH47" s="36">
        <v>20.853999999999999</v>
      </c>
      <c r="CI47" s="36">
        <v>17.397000000000002</v>
      </c>
      <c r="CJ47" s="37">
        <f t="shared" si="36"/>
        <v>6688.0429999999997</v>
      </c>
      <c r="CK47" s="36">
        <v>552.11400000000003</v>
      </c>
      <c r="CL47" s="36">
        <v>222.81899999999999</v>
      </c>
      <c r="CM47" s="37">
        <f t="shared" si="37"/>
        <v>774.93299999999999</v>
      </c>
      <c r="CN47" s="36">
        <v>26.775000000000002</v>
      </c>
      <c r="CO47" s="36">
        <v>0</v>
      </c>
      <c r="CP47" s="36">
        <v>105.554</v>
      </c>
      <c r="CQ47" s="36">
        <v>3.0070000000002324</v>
      </c>
      <c r="CR47" s="37">
        <f t="shared" si="38"/>
        <v>7991.1180000000004</v>
      </c>
      <c r="CS47" s="36">
        <v>165.45500000000001</v>
      </c>
      <c r="CT47" s="33">
        <v>5480.4920000000002</v>
      </c>
      <c r="CU47" s="37">
        <f t="shared" si="39"/>
        <v>5645.9470000000001</v>
      </c>
      <c r="CV47" s="36">
        <v>1281.4290000000001</v>
      </c>
      <c r="CW47" s="36">
        <v>39.942000000000235</v>
      </c>
      <c r="CX47" s="37">
        <f t="shared" si="40"/>
        <v>1321.3710000000003</v>
      </c>
      <c r="CY47" s="36">
        <v>155.97399999999999</v>
      </c>
      <c r="CZ47" s="36">
        <v>867.82600000000002</v>
      </c>
      <c r="DA47" s="71">
        <f t="shared" si="41"/>
        <v>7991.1180000000004</v>
      </c>
      <c r="DB47" s="36"/>
      <c r="DC47" s="72">
        <v>947.30500000000006</v>
      </c>
      <c r="DD47" s="36"/>
      <c r="DE47" s="32">
        <v>380</v>
      </c>
      <c r="DF47" s="33">
        <v>400</v>
      </c>
      <c r="DG47" s="33">
        <v>475</v>
      </c>
      <c r="DH47" s="33">
        <v>75</v>
      </c>
      <c r="DI47" s="33">
        <v>250</v>
      </c>
      <c r="DJ47" s="33">
        <v>0</v>
      </c>
      <c r="DK47" s="34">
        <f t="shared" si="42"/>
        <v>1580</v>
      </c>
      <c r="DL47" s="63">
        <f t="shared" si="43"/>
        <v>0.19771951809496494</v>
      </c>
      <c r="DM47" s="63">
        <f t="shared" si="44"/>
        <v>0.26267294513733874</v>
      </c>
      <c r="DN47" s="36"/>
      <c r="DO47" s="65" t="s">
        <v>193</v>
      </c>
      <c r="DP47" s="59">
        <v>57</v>
      </c>
      <c r="DQ47" s="59">
        <v>9543</v>
      </c>
      <c r="DR47" s="73">
        <v>5</v>
      </c>
      <c r="DS47" s="59" t="s">
        <v>163</v>
      </c>
      <c r="DT47" s="75" t="s">
        <v>164</v>
      </c>
      <c r="DU47" s="62" t="s">
        <v>165</v>
      </c>
      <c r="DV47" s="63">
        <v>0.27034898457857226</v>
      </c>
      <c r="DW47" s="64"/>
      <c r="DX47" s="32">
        <v>719.10699999999997</v>
      </c>
      <c r="DY47" s="33">
        <v>794.10699999999997</v>
      </c>
      <c r="DZ47" s="34">
        <v>874.10699999999997</v>
      </c>
      <c r="EA47" s="33"/>
      <c r="EB47" s="65">
        <f t="shared" si="45"/>
        <v>3881.6054999999997</v>
      </c>
      <c r="EC47" s="33">
        <v>3713.4679999999998</v>
      </c>
      <c r="ED47" s="34">
        <v>4049.7429999999999</v>
      </c>
      <c r="EE47" s="33"/>
      <c r="EF47" s="32">
        <v>261.10500000000002</v>
      </c>
      <c r="EG47" s="33">
        <v>65.278999999999996</v>
      </c>
      <c r="EH47" s="33">
        <v>240.53199999999998</v>
      </c>
      <c r="EI47" s="33">
        <v>81.358999999999995</v>
      </c>
      <c r="EJ47" s="33">
        <v>876.25500000000011</v>
      </c>
      <c r="EK47" s="33">
        <v>48.752000000000002</v>
      </c>
      <c r="EL47" s="33">
        <v>163.98399999999924</v>
      </c>
      <c r="EM47" s="34">
        <v>4371.8320000000003</v>
      </c>
      <c r="EN47" s="34">
        <f t="shared" si="46"/>
        <v>6109.098</v>
      </c>
      <c r="EO47" s="59"/>
      <c r="EP47" s="48">
        <f t="shared" si="74"/>
        <v>4.2740352176376943E-2</v>
      </c>
      <c r="EQ47" s="6">
        <f t="shared" si="74"/>
        <v>1.0685538192381265E-2</v>
      </c>
      <c r="ER47" s="6">
        <f t="shared" si="74"/>
        <v>3.9372751918531998E-2</v>
      </c>
      <c r="ES47" s="6">
        <f t="shared" si="74"/>
        <v>1.3317677994361852E-2</v>
      </c>
      <c r="ET47" s="6">
        <f t="shared" si="74"/>
        <v>0.14343443172789178</v>
      </c>
      <c r="EU47" s="6">
        <f t="shared" si="74"/>
        <v>7.9802288324724857E-3</v>
      </c>
      <c r="EV47" s="6">
        <f t="shared" si="74"/>
        <v>2.6842587891043691E-2</v>
      </c>
      <c r="EW47" s="6">
        <f t="shared" si="72"/>
        <v>0.71562643126693992</v>
      </c>
      <c r="EX47" s="63">
        <f t="shared" si="48"/>
        <v>1</v>
      </c>
      <c r="EY47" s="59"/>
      <c r="EZ47" s="35">
        <v>20.376999999999999</v>
      </c>
      <c r="FA47" s="36">
        <v>81.797000000000011</v>
      </c>
      <c r="FB47" s="71">
        <f t="shared" si="49"/>
        <v>102.17400000000001</v>
      </c>
      <c r="FD47" s="35">
        <f t="shared" si="75"/>
        <v>20.853999999999999</v>
      </c>
      <c r="FE47" s="36">
        <f t="shared" si="75"/>
        <v>17.397000000000002</v>
      </c>
      <c r="FF47" s="71">
        <f t="shared" si="51"/>
        <v>38.251000000000005</v>
      </c>
      <c r="FH47" s="32">
        <f t="shared" si="52"/>
        <v>4772.741</v>
      </c>
      <c r="FI47" s="33">
        <f t="shared" si="53"/>
        <v>1953.5529999999994</v>
      </c>
      <c r="FJ47" s="34">
        <f t="shared" si="54"/>
        <v>6726.2939999999999</v>
      </c>
      <c r="FL47" s="48">
        <v>0.70956473207980508</v>
      </c>
      <c r="FM47" s="6">
        <v>0.29043526792019492</v>
      </c>
      <c r="FN47" s="41">
        <f t="shared" si="55"/>
        <v>1</v>
      </c>
      <c r="FO47" s="59"/>
      <c r="FP47" s="65">
        <f t="shared" si="56"/>
        <v>799.33600000000001</v>
      </c>
      <c r="FQ47" s="33">
        <v>730.846</v>
      </c>
      <c r="FR47" s="34">
        <f t="shared" si="57"/>
        <v>867.82600000000002</v>
      </c>
      <c r="FT47" s="65">
        <f t="shared" si="58"/>
        <v>6212.9594999999999</v>
      </c>
      <c r="FU47" s="33">
        <v>5699.625</v>
      </c>
      <c r="FV47" s="34">
        <f t="shared" si="59"/>
        <v>6726.2939999999999</v>
      </c>
      <c r="FX47" s="65">
        <f t="shared" si="60"/>
        <v>1128.2550000000001</v>
      </c>
      <c r="FY47" s="33">
        <v>1218.4090000000001</v>
      </c>
      <c r="FZ47" s="34">
        <f t="shared" si="61"/>
        <v>1038.1010000000001</v>
      </c>
      <c r="GB47" s="65">
        <f t="shared" si="62"/>
        <v>7341.2145</v>
      </c>
      <c r="GC47" s="59">
        <f t="shared" si="76"/>
        <v>6918.0339999999997</v>
      </c>
      <c r="GD47" s="73">
        <f t="shared" si="76"/>
        <v>7764.3950000000004</v>
      </c>
      <c r="GF47" s="65">
        <f t="shared" si="64"/>
        <v>5430.3845000000001</v>
      </c>
      <c r="GG47" s="33">
        <v>5380.277</v>
      </c>
      <c r="GH47" s="34">
        <f t="shared" si="65"/>
        <v>5480.4920000000002</v>
      </c>
      <c r="GI47" s="33"/>
      <c r="GJ47" s="65">
        <f t="shared" si="66"/>
        <v>7608.0084999999999</v>
      </c>
      <c r="GK47" s="33">
        <v>7224.8990000000003</v>
      </c>
      <c r="GL47" s="34">
        <f t="shared" si="67"/>
        <v>7991.1180000000004</v>
      </c>
      <c r="GM47" s="33"/>
      <c r="GN47" s="76">
        <f t="shared" si="68"/>
        <v>0.50678052808130225</v>
      </c>
      <c r="GO47" s="67"/>
    </row>
    <row r="48" spans="2:198" s="1" customFormat="1" x14ac:dyDescent="0.2">
      <c r="B48" s="77" t="s">
        <v>217</v>
      </c>
      <c r="C48" s="32">
        <v>3686.3389999999999</v>
      </c>
      <c r="D48" s="33">
        <v>3557.2584999999999</v>
      </c>
      <c r="E48" s="33">
        <v>2741.8120000000004</v>
      </c>
      <c r="F48" s="33">
        <v>1354.682</v>
      </c>
      <c r="G48" s="33">
        <v>2434.3560000000002</v>
      </c>
      <c r="H48" s="33">
        <v>5041.0209999999997</v>
      </c>
      <c r="I48" s="34">
        <v>4096.4940000000006</v>
      </c>
      <c r="J48" s="33"/>
      <c r="K48" s="35">
        <v>40.98</v>
      </c>
      <c r="L48" s="36">
        <v>5.33</v>
      </c>
      <c r="M48" s="36">
        <v>0.121</v>
      </c>
      <c r="N48" s="37">
        <f t="shared" si="0"/>
        <v>46.430999999999997</v>
      </c>
      <c r="O48" s="36">
        <v>20.293999999999997</v>
      </c>
      <c r="P48" s="37">
        <f t="shared" si="1"/>
        <v>26.137</v>
      </c>
      <c r="Q48" s="36">
        <v>3.6579999999999999</v>
      </c>
      <c r="R48" s="37">
        <f t="shared" si="2"/>
        <v>22.478999999999999</v>
      </c>
      <c r="S48" s="36">
        <v>3.1150000000000002</v>
      </c>
      <c r="T48" s="36">
        <v>0.21299999999999997</v>
      </c>
      <c r="U48" s="36">
        <v>-2.9009999999999998</v>
      </c>
      <c r="V48" s="37">
        <f t="shared" si="3"/>
        <v>22.906000000000002</v>
      </c>
      <c r="W48" s="36">
        <v>4.8550000000000004</v>
      </c>
      <c r="X48" s="38">
        <f t="shared" si="4"/>
        <v>18.051000000000002</v>
      </c>
      <c r="Y48" s="36"/>
      <c r="Z48" s="39">
        <f t="shared" si="5"/>
        <v>2.3040214817112672E-2</v>
      </c>
      <c r="AA48" s="40">
        <f t="shared" si="6"/>
        <v>2.9966897260910335E-3</v>
      </c>
      <c r="AB48" s="6">
        <f t="shared" si="7"/>
        <v>0.40784581683715504</v>
      </c>
      <c r="AC48" s="6">
        <f t="shared" si="8"/>
        <v>0.40959916037621596</v>
      </c>
      <c r="AD48" s="6">
        <f t="shared" si="9"/>
        <v>0.437078675884646</v>
      </c>
      <c r="AE48" s="40">
        <f t="shared" si="10"/>
        <v>1.1409910187859553E-2</v>
      </c>
      <c r="AF48" s="40">
        <f t="shared" si="11"/>
        <v>1.0148826687742824E-2</v>
      </c>
      <c r="AG48" s="40">
        <f t="shared" si="12"/>
        <v>2.077189493915927E-2</v>
      </c>
      <c r="AH48" s="40">
        <f t="shared" si="13"/>
        <v>3.3906369972983651E-2</v>
      </c>
      <c r="AI48" s="40">
        <f t="shared" si="14"/>
        <v>2.5867343988552498E-2</v>
      </c>
      <c r="AJ48" s="41">
        <f t="shared" si="15"/>
        <v>8.4142470248777565E-2</v>
      </c>
      <c r="AK48" s="42"/>
      <c r="AL48" s="48">
        <f t="shared" si="16"/>
        <v>9.3781652329910883E-2</v>
      </c>
      <c r="AM48" s="6">
        <f t="shared" si="17"/>
        <v>9.3862717557904471E-2</v>
      </c>
      <c r="AN48" s="41">
        <f t="shared" si="18"/>
        <v>6.4366385806559429E-2</v>
      </c>
      <c r="AO48" s="36"/>
      <c r="AP48" s="48">
        <f t="shared" si="19"/>
        <v>0.88786393815476772</v>
      </c>
      <c r="AQ48" s="6">
        <f t="shared" si="20"/>
        <v>0.75535833470637037</v>
      </c>
      <c r="AR48" s="6">
        <f t="shared" si="21"/>
        <v>-9.253354072970529E-3</v>
      </c>
      <c r="AS48" s="6">
        <f t="shared" si="22"/>
        <v>0.38132277036919282</v>
      </c>
      <c r="AT48" s="6">
        <f t="shared" si="23"/>
        <v>0.22313140489792177</v>
      </c>
      <c r="AU48" s="69">
        <v>5.33</v>
      </c>
      <c r="AV48" s="70">
        <v>1.24</v>
      </c>
      <c r="AW48" s="36"/>
      <c r="AX48" s="48">
        <f t="shared" si="24"/>
        <v>0.1199330826600592</v>
      </c>
      <c r="AY48" s="6">
        <v>9.6000000000000002E-2</v>
      </c>
      <c r="AZ48" s="6">
        <f t="shared" si="25"/>
        <v>0.18211730118169459</v>
      </c>
      <c r="BA48" s="6">
        <f t="shared" si="26"/>
        <v>0.19299796585973844</v>
      </c>
      <c r="BB48" s="41">
        <f t="shared" si="27"/>
        <v>0.21475929521582615</v>
      </c>
      <c r="BC48" s="6"/>
      <c r="BD48" s="48">
        <v>0.17660000000000001</v>
      </c>
      <c r="BE48" s="6">
        <v>0.18940000000000001</v>
      </c>
      <c r="BF48" s="41">
        <v>0.21099999999999999</v>
      </c>
      <c r="BG48" s="6"/>
      <c r="BH48" s="48"/>
      <c r="BI48" s="41">
        <v>3.5000000000000003E-2</v>
      </c>
      <c r="BJ48" s="48"/>
      <c r="BK48" s="41"/>
      <c r="BL48" s="63"/>
      <c r="BM48" s="6"/>
      <c r="BN48" s="48"/>
      <c r="BO48" s="41">
        <f>BD48-(4.5%+2.5%+3%+2.5%+BI48)</f>
        <v>1.6600000000000004E-2</v>
      </c>
      <c r="BP48" s="6"/>
      <c r="BQ48" s="48"/>
      <c r="BR48" s="41">
        <f>BE48-(6%+2.5%+3%+2.5%+BI48)</f>
        <v>1.4400000000000024E-2</v>
      </c>
      <c r="BS48" s="6"/>
      <c r="BT48" s="48"/>
      <c r="BU48" s="41">
        <f>BF48-(8%+2.5%+3%+2.5%+BI48)</f>
        <v>1.5999999999999986E-2</v>
      </c>
      <c r="BV48" s="36"/>
      <c r="BW48" s="39">
        <f t="shared" si="28"/>
        <v>2.7878234304822727E-3</v>
      </c>
      <c r="BX48" s="6">
        <f t="shared" si="29"/>
        <v>0.12414729339894788</v>
      </c>
      <c r="BY48" s="40">
        <f t="shared" si="30"/>
        <v>5.1280321189053069E-2</v>
      </c>
      <c r="BZ48" s="6">
        <f t="shared" si="31"/>
        <v>0.30065690714771431</v>
      </c>
      <c r="CA48" s="6">
        <f t="shared" si="32"/>
        <v>0.74724962907741299</v>
      </c>
      <c r="CB48" s="41">
        <f t="shared" si="33"/>
        <v>0.83083241425472598</v>
      </c>
      <c r="CC48" s="36"/>
      <c r="CD48" s="35">
        <v>44.223999999999997</v>
      </c>
      <c r="CE48" s="36">
        <v>309.38900000000001</v>
      </c>
      <c r="CF48" s="37">
        <f t="shared" si="34"/>
        <v>353.613</v>
      </c>
      <c r="CG48" s="33">
        <f t="shared" si="35"/>
        <v>2741.8120000000004</v>
      </c>
      <c r="CH48" s="36">
        <v>19.664999999999999</v>
      </c>
      <c r="CI48" s="36">
        <v>5.867</v>
      </c>
      <c r="CJ48" s="37">
        <f t="shared" si="36"/>
        <v>2716.28</v>
      </c>
      <c r="CK48" s="36">
        <v>468.92500000000001</v>
      </c>
      <c r="CL48" s="36">
        <v>124.63299999999998</v>
      </c>
      <c r="CM48" s="37">
        <f t="shared" si="37"/>
        <v>593.55799999999999</v>
      </c>
      <c r="CN48" s="36">
        <v>8</v>
      </c>
      <c r="CO48" s="36">
        <v>0</v>
      </c>
      <c r="CP48" s="36">
        <v>8.2040000000000006</v>
      </c>
      <c r="CQ48" s="36">
        <v>6.6839999999999193</v>
      </c>
      <c r="CR48" s="37">
        <f t="shared" si="38"/>
        <v>3686.3389999999999</v>
      </c>
      <c r="CS48" s="36">
        <v>125.69799999999999</v>
      </c>
      <c r="CT48" s="33">
        <v>2434.3560000000002</v>
      </c>
      <c r="CU48" s="37">
        <f t="shared" si="39"/>
        <v>2560.0540000000001</v>
      </c>
      <c r="CV48" s="36">
        <v>602.64599999999996</v>
      </c>
      <c r="CW48" s="36">
        <v>21.44199999999995</v>
      </c>
      <c r="CX48" s="37">
        <f t="shared" si="40"/>
        <v>624.08799999999997</v>
      </c>
      <c r="CY48" s="36">
        <v>60.082999999999998</v>
      </c>
      <c r="CZ48" s="36">
        <v>442.11399999999998</v>
      </c>
      <c r="DA48" s="71">
        <f t="shared" si="41"/>
        <v>3686.3389999999999</v>
      </c>
      <c r="DB48" s="36"/>
      <c r="DC48" s="72">
        <v>822.53800000000001</v>
      </c>
      <c r="DD48" s="36"/>
      <c r="DE48" s="32">
        <v>170</v>
      </c>
      <c r="DF48" s="33">
        <v>335</v>
      </c>
      <c r="DG48" s="33">
        <v>165</v>
      </c>
      <c r="DH48" s="33">
        <v>75</v>
      </c>
      <c r="DI48" s="33">
        <v>40</v>
      </c>
      <c r="DJ48" s="33">
        <v>0</v>
      </c>
      <c r="DK48" s="34">
        <f t="shared" si="42"/>
        <v>785</v>
      </c>
      <c r="DL48" s="63">
        <f t="shared" si="43"/>
        <v>0.21294840219524033</v>
      </c>
      <c r="DM48" s="63">
        <f t="shared" si="44"/>
        <v>0.39669194829884064</v>
      </c>
      <c r="DN48" s="36"/>
      <c r="DO48" s="65" t="s">
        <v>178</v>
      </c>
      <c r="DP48" s="59">
        <v>17.3</v>
      </c>
      <c r="DQ48" s="59">
        <v>6746</v>
      </c>
      <c r="DR48" s="73">
        <v>6</v>
      </c>
      <c r="DS48" s="59" t="s">
        <v>163</v>
      </c>
      <c r="DT48" s="75" t="s">
        <v>164</v>
      </c>
      <c r="DU48" s="62" t="s">
        <v>170</v>
      </c>
      <c r="DV48" s="63">
        <v>0.53412396509286197</v>
      </c>
      <c r="DW48" s="64"/>
      <c r="DX48" s="32">
        <v>334.75400000000002</v>
      </c>
      <c r="DY48" s="33">
        <v>354.75400000000002</v>
      </c>
      <c r="DZ48" s="34">
        <v>394.75400000000002</v>
      </c>
      <c r="EA48" s="33"/>
      <c r="EB48" s="65">
        <f t="shared" si="45"/>
        <v>1738.0215000000001</v>
      </c>
      <c r="EC48" s="33">
        <v>1637.92</v>
      </c>
      <c r="ED48" s="34">
        <v>1838.123</v>
      </c>
      <c r="EE48" s="33"/>
      <c r="EF48" s="32">
        <v>25.529</v>
      </c>
      <c r="EG48" s="33">
        <v>24.529</v>
      </c>
      <c r="EH48" s="33">
        <v>113.04300000000001</v>
      </c>
      <c r="EI48" s="33">
        <v>30.545000000000002</v>
      </c>
      <c r="EJ48" s="33">
        <v>380.89400000000001</v>
      </c>
      <c r="EK48" s="33">
        <v>19.576000000000001</v>
      </c>
      <c r="EL48" s="33">
        <v>44.255999999999858</v>
      </c>
      <c r="EM48" s="34">
        <v>2003.6179999999999</v>
      </c>
      <c r="EN48" s="34">
        <f t="shared" si="46"/>
        <v>2641.99</v>
      </c>
      <c r="EO48" s="59"/>
      <c r="EP48" s="48">
        <f t="shared" si="74"/>
        <v>9.6627920620441423E-3</v>
      </c>
      <c r="EQ48" s="6">
        <f t="shared" si="74"/>
        <v>9.2842894939042173E-3</v>
      </c>
      <c r="ER48" s="6">
        <f t="shared" si="74"/>
        <v>4.2787065810241526E-2</v>
      </c>
      <c r="ES48" s="6">
        <f t="shared" si="74"/>
        <v>1.1561360943834005E-2</v>
      </c>
      <c r="ET48" s="6">
        <f t="shared" si="74"/>
        <v>0.14416935718908855</v>
      </c>
      <c r="EU48" s="6">
        <f t="shared" si="74"/>
        <v>7.4095662739071689E-3</v>
      </c>
      <c r="EV48" s="6">
        <f t="shared" si="74"/>
        <v>1.675100965560046E-2</v>
      </c>
      <c r="EW48" s="6">
        <f t="shared" si="72"/>
        <v>0.75837455857137992</v>
      </c>
      <c r="EX48" s="63">
        <f t="shared" si="48"/>
        <v>1</v>
      </c>
      <c r="EY48" s="59"/>
      <c r="EZ48" s="35">
        <v>107.462</v>
      </c>
      <c r="FA48" s="36">
        <v>33.139000000000003</v>
      </c>
      <c r="FB48" s="71">
        <f t="shared" si="49"/>
        <v>140.601</v>
      </c>
      <c r="FD48" s="35">
        <f t="shared" si="75"/>
        <v>19.664999999999999</v>
      </c>
      <c r="FE48" s="36">
        <f t="shared" si="75"/>
        <v>5.867</v>
      </c>
      <c r="FF48" s="71">
        <f t="shared" si="51"/>
        <v>25.532</v>
      </c>
      <c r="FH48" s="32">
        <f t="shared" si="52"/>
        <v>2048.8180000000002</v>
      </c>
      <c r="FI48" s="33">
        <f t="shared" si="53"/>
        <v>692.99400000000026</v>
      </c>
      <c r="FJ48" s="34">
        <f t="shared" si="54"/>
        <v>2741.8120000000004</v>
      </c>
      <c r="FL48" s="48">
        <v>0.74724962907741299</v>
      </c>
      <c r="FM48" s="6">
        <v>0.25275037092258701</v>
      </c>
      <c r="FN48" s="41">
        <f t="shared" si="55"/>
        <v>1</v>
      </c>
      <c r="FO48" s="59"/>
      <c r="FP48" s="65">
        <f t="shared" si="56"/>
        <v>429.05799999999999</v>
      </c>
      <c r="FQ48" s="33">
        <v>416.00200000000001</v>
      </c>
      <c r="FR48" s="34">
        <f t="shared" si="57"/>
        <v>442.11399999999998</v>
      </c>
      <c r="FT48" s="65">
        <f t="shared" si="58"/>
        <v>2624.2695000000003</v>
      </c>
      <c r="FU48" s="33">
        <v>2506.7269999999999</v>
      </c>
      <c r="FV48" s="34">
        <f t="shared" si="59"/>
        <v>2741.8120000000004</v>
      </c>
      <c r="FX48" s="65">
        <f t="shared" si="60"/>
        <v>1296.4675</v>
      </c>
      <c r="FY48" s="33">
        <v>1238.2529999999999</v>
      </c>
      <c r="FZ48" s="34">
        <f t="shared" si="61"/>
        <v>1354.682</v>
      </c>
      <c r="GB48" s="65">
        <f t="shared" si="62"/>
        <v>3920.7370000000001</v>
      </c>
      <c r="GC48" s="59">
        <f t="shared" si="76"/>
        <v>3744.9799999999996</v>
      </c>
      <c r="GD48" s="73">
        <f t="shared" si="76"/>
        <v>4096.4940000000006</v>
      </c>
      <c r="GF48" s="65">
        <f t="shared" si="64"/>
        <v>2360.7485000000001</v>
      </c>
      <c r="GG48" s="33">
        <v>2287.1410000000001</v>
      </c>
      <c r="GH48" s="34">
        <f t="shared" si="65"/>
        <v>2434.3560000000002</v>
      </c>
      <c r="GI48" s="33"/>
      <c r="GJ48" s="65">
        <f t="shared" si="66"/>
        <v>3557.2584999999999</v>
      </c>
      <c r="GK48" s="33">
        <v>3428.1779999999999</v>
      </c>
      <c r="GL48" s="34">
        <f t="shared" si="67"/>
        <v>3686.3389999999999</v>
      </c>
      <c r="GM48" s="33"/>
      <c r="GN48" s="76">
        <f t="shared" si="68"/>
        <v>0.49863102660932707</v>
      </c>
      <c r="GO48" s="67"/>
    </row>
    <row r="49" spans="2:198" s="1" customFormat="1" x14ac:dyDescent="0.2">
      <c r="B49" s="77" t="s">
        <v>218</v>
      </c>
      <c r="C49" s="32">
        <v>2961.05</v>
      </c>
      <c r="D49" s="33">
        <v>2931.2840000000001</v>
      </c>
      <c r="E49" s="33">
        <v>2407.8040000000001</v>
      </c>
      <c r="F49" s="33">
        <v>90.03</v>
      </c>
      <c r="G49" s="33">
        <v>2552.9690000000001</v>
      </c>
      <c r="H49" s="33">
        <v>3051.0800000000004</v>
      </c>
      <c r="I49" s="34">
        <v>2497.8340000000003</v>
      </c>
      <c r="J49" s="33"/>
      <c r="K49" s="35">
        <v>37.890999999999998</v>
      </c>
      <c r="L49" s="36">
        <v>6.4830000000000005</v>
      </c>
      <c r="M49" s="36">
        <v>0.06</v>
      </c>
      <c r="N49" s="37">
        <f t="shared" si="0"/>
        <v>44.433999999999997</v>
      </c>
      <c r="O49" s="36">
        <v>18.772000000000002</v>
      </c>
      <c r="P49" s="37">
        <f t="shared" si="1"/>
        <v>25.661999999999995</v>
      </c>
      <c r="Q49" s="36">
        <v>-0.44400000000000006</v>
      </c>
      <c r="R49" s="37">
        <f t="shared" si="2"/>
        <v>26.105999999999995</v>
      </c>
      <c r="S49" s="36">
        <v>5.36</v>
      </c>
      <c r="T49" s="36">
        <v>-0.442</v>
      </c>
      <c r="U49" s="36">
        <v>-3.1139999999999999</v>
      </c>
      <c r="V49" s="37">
        <f t="shared" si="3"/>
        <v>27.909999999999993</v>
      </c>
      <c r="W49" s="36">
        <v>5.98</v>
      </c>
      <c r="X49" s="38">
        <f t="shared" si="4"/>
        <v>21.929999999999993</v>
      </c>
      <c r="Y49" s="36"/>
      <c r="Z49" s="39">
        <f t="shared" si="5"/>
        <v>2.5852834457527826E-2</v>
      </c>
      <c r="AA49" s="40">
        <f t="shared" si="6"/>
        <v>4.4233175632248534E-3</v>
      </c>
      <c r="AB49" s="6">
        <f t="shared" si="7"/>
        <v>0.38036958988490849</v>
      </c>
      <c r="AC49" s="6">
        <f t="shared" si="8"/>
        <v>0.37699321203357838</v>
      </c>
      <c r="AD49" s="6">
        <f t="shared" si="9"/>
        <v>0.42246928028086606</v>
      </c>
      <c r="AE49" s="40">
        <f t="shared" si="10"/>
        <v>1.2808039070932739E-2</v>
      </c>
      <c r="AF49" s="40">
        <f t="shared" si="11"/>
        <v>1.4962726231917476E-2</v>
      </c>
      <c r="AG49" s="40">
        <f t="shared" si="12"/>
        <v>3.2395027296835854E-2</v>
      </c>
      <c r="AH49" s="40">
        <f t="shared" si="13"/>
        <v>4.517281964146104E-2</v>
      </c>
      <c r="AI49" s="40">
        <f t="shared" si="14"/>
        <v>3.8563820456506928E-2</v>
      </c>
      <c r="AJ49" s="41">
        <f t="shared" si="15"/>
        <v>0.13336455105770309</v>
      </c>
      <c r="AK49" s="42"/>
      <c r="AL49" s="48">
        <f t="shared" si="16"/>
        <v>0.1120767136751309</v>
      </c>
      <c r="AM49" s="6">
        <f t="shared" si="17"/>
        <v>9.6366388035908024E-2</v>
      </c>
      <c r="AN49" s="41">
        <f t="shared" si="18"/>
        <v>3.4864995426671249E-3</v>
      </c>
      <c r="AO49" s="36"/>
      <c r="AP49" s="48">
        <f t="shared" si="19"/>
        <v>1.0602893757133056</v>
      </c>
      <c r="AQ49" s="6">
        <f t="shared" si="20"/>
        <v>0.98678511324008822</v>
      </c>
      <c r="AR49" s="6">
        <f t="shared" si="21"/>
        <v>-0.14376960875365152</v>
      </c>
      <c r="AS49" s="6">
        <f t="shared" si="22"/>
        <v>2.6748619577514735E-2</v>
      </c>
      <c r="AT49" s="6">
        <f t="shared" si="23"/>
        <v>0.15531585079617025</v>
      </c>
      <c r="AU49" s="69">
        <v>1.2115</v>
      </c>
      <c r="AV49" s="70">
        <v>1.42</v>
      </c>
      <c r="AW49" s="36"/>
      <c r="AX49" s="48">
        <f t="shared" si="24"/>
        <v>0.11789939379611961</v>
      </c>
      <c r="AY49" s="6">
        <v>9.2499999999999999E-2</v>
      </c>
      <c r="AZ49" s="6">
        <f t="shared" si="25"/>
        <v>0.1952576827544526</v>
      </c>
      <c r="BA49" s="6">
        <f t="shared" si="26"/>
        <v>0.1952576827544526</v>
      </c>
      <c r="BB49" s="41">
        <f t="shared" si="27"/>
        <v>0.1952576827544526</v>
      </c>
      <c r="BC49" s="6"/>
      <c r="BD49" s="48">
        <v>0.20530000000000001</v>
      </c>
      <c r="BE49" s="6">
        <v>0.20649999999999999</v>
      </c>
      <c r="BF49" s="41">
        <v>0.2079</v>
      </c>
      <c r="BG49" s="6"/>
      <c r="BH49" s="48"/>
      <c r="BI49" s="41"/>
      <c r="BJ49" s="48"/>
      <c r="BK49" s="41"/>
      <c r="BL49" s="63"/>
      <c r="BM49" s="6"/>
      <c r="BN49" s="48"/>
      <c r="BO49" s="41"/>
      <c r="BP49" s="6"/>
      <c r="BQ49" s="48"/>
      <c r="BR49" s="41"/>
      <c r="BS49" s="6"/>
      <c r="BT49" s="48"/>
      <c r="BU49" s="41"/>
      <c r="BV49" s="36"/>
      <c r="BW49" s="39">
        <f t="shared" si="28"/>
        <v>-3.8837108507294867E-4</v>
      </c>
      <c r="BX49" s="6">
        <f t="shared" si="29"/>
        <v>-1.4519293655984308E-2</v>
      </c>
      <c r="BY49" s="40">
        <f t="shared" si="30"/>
        <v>9.3441991125523503E-3</v>
      </c>
      <c r="BZ49" s="6">
        <f t="shared" si="31"/>
        <v>6.2621595669176286E-2</v>
      </c>
      <c r="CA49" s="6">
        <f t="shared" si="32"/>
        <v>0.80552902146520233</v>
      </c>
      <c r="CB49" s="41">
        <f t="shared" si="33"/>
        <v>0.81253838325525229</v>
      </c>
      <c r="CC49" s="36"/>
      <c r="CD49" s="35">
        <v>73.256</v>
      </c>
      <c r="CE49" s="36">
        <v>6.1050000000000004</v>
      </c>
      <c r="CF49" s="37">
        <f t="shared" si="34"/>
        <v>79.361000000000004</v>
      </c>
      <c r="CG49" s="33">
        <f t="shared" si="35"/>
        <v>2407.8040000000001</v>
      </c>
      <c r="CH49" s="36">
        <v>5.6459999999999999</v>
      </c>
      <c r="CI49" s="36">
        <v>4.5330000000000004</v>
      </c>
      <c r="CJ49" s="37">
        <f t="shared" si="36"/>
        <v>2397.625</v>
      </c>
      <c r="CK49" s="36">
        <v>380.53699999999998</v>
      </c>
      <c r="CL49" s="36">
        <v>84.631</v>
      </c>
      <c r="CM49" s="37">
        <f t="shared" si="37"/>
        <v>465.16800000000001</v>
      </c>
      <c r="CN49" s="36">
        <v>0.58499999999999996</v>
      </c>
      <c r="CO49" s="36">
        <v>0</v>
      </c>
      <c r="CP49" s="36">
        <v>12.888999999999999</v>
      </c>
      <c r="CQ49" s="36">
        <v>5.422000000000299</v>
      </c>
      <c r="CR49" s="37">
        <f t="shared" si="38"/>
        <v>2961.0500000000006</v>
      </c>
      <c r="CS49" s="36">
        <v>34.189</v>
      </c>
      <c r="CT49" s="33">
        <v>2552.9690000000001</v>
      </c>
      <c r="CU49" s="37">
        <f t="shared" si="39"/>
        <v>2587.1579999999999</v>
      </c>
      <c r="CV49" s="36">
        <v>0</v>
      </c>
      <c r="CW49" s="36">
        <v>24.786000000000286</v>
      </c>
      <c r="CX49" s="37">
        <f t="shared" si="40"/>
        <v>24.786000000000286</v>
      </c>
      <c r="CY49" s="36">
        <v>0</v>
      </c>
      <c r="CZ49" s="36">
        <v>349.10599999999999</v>
      </c>
      <c r="DA49" s="71">
        <f t="shared" si="41"/>
        <v>2961.05</v>
      </c>
      <c r="DB49" s="36"/>
      <c r="DC49" s="72">
        <v>459.89799999999997</v>
      </c>
      <c r="DD49" s="36"/>
      <c r="DE49" s="32">
        <v>15</v>
      </c>
      <c r="DF49" s="33">
        <v>0</v>
      </c>
      <c r="DG49" s="33">
        <v>0</v>
      </c>
      <c r="DH49" s="33">
        <v>0</v>
      </c>
      <c r="DI49" s="33">
        <v>0</v>
      </c>
      <c r="DJ49" s="33">
        <v>0</v>
      </c>
      <c r="DK49" s="34">
        <f t="shared" si="42"/>
        <v>15</v>
      </c>
      <c r="DL49" s="63">
        <f t="shared" si="43"/>
        <v>5.0657705881359651E-3</v>
      </c>
      <c r="DM49" s="63">
        <f t="shared" si="44"/>
        <v>2.0268148123131997E-2</v>
      </c>
      <c r="DN49" s="36"/>
      <c r="DO49" s="65" t="s">
        <v>162</v>
      </c>
      <c r="DP49" s="59">
        <v>18</v>
      </c>
      <c r="DQ49" s="59">
        <v>6972</v>
      </c>
      <c r="DR49" s="73">
        <v>4</v>
      </c>
      <c r="DS49" s="59" t="s">
        <v>163</v>
      </c>
      <c r="DT49" s="65"/>
      <c r="DU49" s="59"/>
      <c r="DV49" s="63" t="s">
        <v>172</v>
      </c>
      <c r="DW49" s="64"/>
      <c r="DX49" s="32">
        <v>276.55399999999997</v>
      </c>
      <c r="DY49" s="33">
        <v>276.55399999999997</v>
      </c>
      <c r="DZ49" s="34">
        <v>276.55399999999997</v>
      </c>
      <c r="EA49" s="33"/>
      <c r="EB49" s="65">
        <f t="shared" si="45"/>
        <v>1353.9115000000002</v>
      </c>
      <c r="EC49" s="33">
        <v>1291.4690000000001</v>
      </c>
      <c r="ED49" s="34">
        <v>1416.354</v>
      </c>
      <c r="EE49" s="33"/>
      <c r="EF49" s="32">
        <v>105.6</v>
      </c>
      <c r="EG49" s="33">
        <v>33.335000000000001</v>
      </c>
      <c r="EH49" s="33">
        <v>125.764</v>
      </c>
      <c r="EI49" s="33">
        <v>19.260999999999999</v>
      </c>
      <c r="EJ49" s="33">
        <v>169.32499999999999</v>
      </c>
      <c r="EK49" s="33">
        <v>9.8610000000000007</v>
      </c>
      <c r="EL49" s="33">
        <v>13.398999999999887</v>
      </c>
      <c r="EM49" s="34">
        <v>1789.8520000000001</v>
      </c>
      <c r="EN49" s="34">
        <f t="shared" si="46"/>
        <v>2266.3969999999999</v>
      </c>
      <c r="EO49" s="59"/>
      <c r="EP49" s="48">
        <f t="shared" si="74"/>
        <v>4.6593778583363811E-2</v>
      </c>
      <c r="EQ49" s="6">
        <f t="shared" si="74"/>
        <v>1.4708367510193493E-2</v>
      </c>
      <c r="ER49" s="6">
        <f t="shared" si="74"/>
        <v>5.5490719410588703E-2</v>
      </c>
      <c r="ES49" s="6">
        <f t="shared" si="74"/>
        <v>8.4985110728614619E-3</v>
      </c>
      <c r="ET49" s="6">
        <f t="shared" si="74"/>
        <v>7.4711094305190129E-2</v>
      </c>
      <c r="EU49" s="6">
        <f t="shared" si="74"/>
        <v>4.3509588125999112E-3</v>
      </c>
      <c r="EV49" s="6">
        <f t="shared" si="74"/>
        <v>5.9120268867280919E-3</v>
      </c>
      <c r="EW49" s="6">
        <f t="shared" si="72"/>
        <v>0.78973454341847438</v>
      </c>
      <c r="EX49" s="63">
        <f t="shared" si="48"/>
        <v>1</v>
      </c>
      <c r="EY49" s="59"/>
      <c r="EZ49" s="35">
        <v>17.670999999999999</v>
      </c>
      <c r="FA49" s="36">
        <v>4.8280000000000003</v>
      </c>
      <c r="FB49" s="71">
        <f t="shared" si="49"/>
        <v>22.498999999999999</v>
      </c>
      <c r="FD49" s="35">
        <f t="shared" si="75"/>
        <v>5.6459999999999999</v>
      </c>
      <c r="FE49" s="36">
        <f t="shared" si="75"/>
        <v>4.5330000000000004</v>
      </c>
      <c r="FF49" s="71">
        <f t="shared" si="51"/>
        <v>10.179</v>
      </c>
      <c r="FH49" s="32">
        <f t="shared" si="52"/>
        <v>1939.556</v>
      </c>
      <c r="FI49" s="33">
        <f t="shared" si="53"/>
        <v>468.24799999999999</v>
      </c>
      <c r="FJ49" s="34">
        <f t="shared" si="54"/>
        <v>2407.8040000000001</v>
      </c>
      <c r="FL49" s="48">
        <v>0.80552902146520233</v>
      </c>
      <c r="FM49" s="6">
        <v>0.19447097853479767</v>
      </c>
      <c r="FN49" s="41">
        <f t="shared" si="55"/>
        <v>1</v>
      </c>
      <c r="FO49" s="59"/>
      <c r="FP49" s="65">
        <f t="shared" si="56"/>
        <v>328.87299999999999</v>
      </c>
      <c r="FQ49" s="33">
        <v>308.64</v>
      </c>
      <c r="FR49" s="34">
        <f t="shared" si="57"/>
        <v>349.10599999999999</v>
      </c>
      <c r="FT49" s="65">
        <f t="shared" si="58"/>
        <v>2286.473</v>
      </c>
      <c r="FU49" s="33">
        <v>2165.1419999999998</v>
      </c>
      <c r="FV49" s="34">
        <f t="shared" si="59"/>
        <v>2407.8040000000001</v>
      </c>
      <c r="FX49" s="65">
        <f t="shared" si="60"/>
        <v>101.586</v>
      </c>
      <c r="FY49" s="33">
        <v>113.142</v>
      </c>
      <c r="FZ49" s="34">
        <f t="shared" si="61"/>
        <v>90.03</v>
      </c>
      <c r="GB49" s="65">
        <f t="shared" si="62"/>
        <v>2388.0590000000002</v>
      </c>
      <c r="GC49" s="59">
        <f t="shared" si="76"/>
        <v>2278.2839999999997</v>
      </c>
      <c r="GD49" s="73">
        <f t="shared" si="76"/>
        <v>2497.8340000000003</v>
      </c>
      <c r="GF49" s="65">
        <f t="shared" si="64"/>
        <v>2548.5340000000001</v>
      </c>
      <c r="GG49" s="33">
        <v>2544.0990000000002</v>
      </c>
      <c r="GH49" s="34">
        <f t="shared" si="65"/>
        <v>2552.9690000000001</v>
      </c>
      <c r="GI49" s="33"/>
      <c r="GJ49" s="65">
        <f t="shared" si="66"/>
        <v>2931.2840000000001</v>
      </c>
      <c r="GK49" s="33">
        <v>2901.518</v>
      </c>
      <c r="GL49" s="34">
        <f t="shared" si="67"/>
        <v>2961.05</v>
      </c>
      <c r="GM49" s="33"/>
      <c r="GN49" s="76">
        <f t="shared" si="68"/>
        <v>0.47832829570591512</v>
      </c>
      <c r="GO49" s="67"/>
      <c r="GP49" s="5"/>
    </row>
    <row r="50" spans="2:198" s="1" customFormat="1" x14ac:dyDescent="0.2">
      <c r="B50" s="77" t="s">
        <v>219</v>
      </c>
      <c r="C50" s="32">
        <v>2241.1790000000001</v>
      </c>
      <c r="D50" s="33">
        <v>2205.7235000000001</v>
      </c>
      <c r="E50" s="33">
        <v>1824.4970000000001</v>
      </c>
      <c r="F50" s="33">
        <v>777.59699999999998</v>
      </c>
      <c r="G50" s="33">
        <v>1780.25</v>
      </c>
      <c r="H50" s="33">
        <v>3018.7759999999998</v>
      </c>
      <c r="I50" s="34">
        <v>2602.0940000000001</v>
      </c>
      <c r="J50" s="33"/>
      <c r="K50" s="35">
        <v>24.158000000000001</v>
      </c>
      <c r="L50" s="36">
        <v>5.2839999999999998</v>
      </c>
      <c r="M50" s="36">
        <v>0.08</v>
      </c>
      <c r="N50" s="37">
        <f t="shared" si="0"/>
        <v>29.521999999999998</v>
      </c>
      <c r="O50" s="36">
        <v>16.109000000000002</v>
      </c>
      <c r="P50" s="37">
        <f t="shared" si="1"/>
        <v>13.412999999999997</v>
      </c>
      <c r="Q50" s="36">
        <v>-0.45200000000000001</v>
      </c>
      <c r="R50" s="37">
        <f t="shared" si="2"/>
        <v>13.864999999999997</v>
      </c>
      <c r="S50" s="36">
        <v>2.7730000000000001</v>
      </c>
      <c r="T50" s="36">
        <v>0.40600000000000003</v>
      </c>
      <c r="U50" s="36">
        <v>-1.5529999999999999</v>
      </c>
      <c r="V50" s="37">
        <f t="shared" si="3"/>
        <v>15.490999999999996</v>
      </c>
      <c r="W50" s="36">
        <v>3.18</v>
      </c>
      <c r="X50" s="38">
        <f t="shared" si="4"/>
        <v>12.310999999999996</v>
      </c>
      <c r="Y50" s="36"/>
      <c r="Z50" s="39">
        <f t="shared" si="5"/>
        <v>2.1904830773213417E-2</v>
      </c>
      <c r="AA50" s="40">
        <f t="shared" si="6"/>
        <v>4.7911716949109893E-3</v>
      </c>
      <c r="AB50" s="6">
        <f t="shared" si="7"/>
        <v>0.49261490474297426</v>
      </c>
      <c r="AC50" s="6">
        <f t="shared" si="8"/>
        <v>0.49880786499458124</v>
      </c>
      <c r="AD50" s="6">
        <f t="shared" si="9"/>
        <v>0.54566086308515693</v>
      </c>
      <c r="AE50" s="40">
        <f t="shared" si="10"/>
        <v>1.4606545199341623E-2</v>
      </c>
      <c r="AF50" s="40">
        <f t="shared" si="11"/>
        <v>1.1162777202128913E-2</v>
      </c>
      <c r="AG50" s="40">
        <f t="shared" si="12"/>
        <v>2.5217279090203333E-2</v>
      </c>
      <c r="AH50" s="40">
        <f t="shared" si="13"/>
        <v>3.3986280128718523E-2</v>
      </c>
      <c r="AI50" s="40">
        <f t="shared" si="14"/>
        <v>2.8400420322124052E-2</v>
      </c>
      <c r="AJ50" s="41">
        <f t="shared" si="15"/>
        <v>8.8934962109992965E-2</v>
      </c>
      <c r="AK50" s="42"/>
      <c r="AL50" s="48">
        <f t="shared" si="16"/>
        <v>4.0531461799400918E-2</v>
      </c>
      <c r="AM50" s="6">
        <f t="shared" si="17"/>
        <v>5.5465079442984427E-2</v>
      </c>
      <c r="AN50" s="41">
        <f t="shared" si="18"/>
        <v>2.5870787245261047E-2</v>
      </c>
      <c r="AO50" s="36"/>
      <c r="AP50" s="48">
        <f t="shared" si="19"/>
        <v>0.97574838434922062</v>
      </c>
      <c r="AQ50" s="6">
        <f t="shared" si="20"/>
        <v>0.91924388866111828</v>
      </c>
      <c r="AR50" s="6">
        <f t="shared" si="21"/>
        <v>-5.4884504985991747E-2</v>
      </c>
      <c r="AS50" s="6">
        <f t="shared" si="22"/>
        <v>0.24326236324720155</v>
      </c>
      <c r="AT50" s="6">
        <f t="shared" si="23"/>
        <v>0.12466741835435723</v>
      </c>
      <c r="AU50" s="69">
        <v>1.91</v>
      </c>
      <c r="AV50" s="70">
        <v>1.41</v>
      </c>
      <c r="AW50" s="36"/>
      <c r="AX50" s="48">
        <f t="shared" si="24"/>
        <v>0.12865014351821072</v>
      </c>
      <c r="AY50" s="6">
        <v>9.3000000000000013E-2</v>
      </c>
      <c r="AZ50" s="6">
        <f t="shared" si="25"/>
        <v>0.2097</v>
      </c>
      <c r="BA50" s="6">
        <f t="shared" si="26"/>
        <v>0.2097</v>
      </c>
      <c r="BB50" s="41">
        <f t="shared" si="27"/>
        <v>0.2097</v>
      </c>
      <c r="BC50" s="6"/>
      <c r="BD50" s="48">
        <v>0.20069999999999999</v>
      </c>
      <c r="BE50" s="6">
        <v>0.20559999999999998</v>
      </c>
      <c r="BF50" s="41">
        <v>0.21079999999999999</v>
      </c>
      <c r="BG50" s="6"/>
      <c r="BH50" s="48"/>
      <c r="BI50" s="41"/>
      <c r="BJ50" s="48"/>
      <c r="BK50" s="41"/>
      <c r="BL50" s="63"/>
      <c r="BM50" s="6"/>
      <c r="BN50" s="48"/>
      <c r="BO50" s="41"/>
      <c r="BP50" s="6"/>
      <c r="BQ50" s="48"/>
      <c r="BR50" s="41"/>
      <c r="BS50" s="6"/>
      <c r="BT50" s="48"/>
      <c r="BU50" s="41"/>
      <c r="BV50" s="36"/>
      <c r="BW50" s="39">
        <f t="shared" si="28"/>
        <v>-5.0532082142582641E-4</v>
      </c>
      <c r="BX50" s="6">
        <f t="shared" si="29"/>
        <v>-2.7242044358727107E-2</v>
      </c>
      <c r="BY50" s="40">
        <f t="shared" si="30"/>
        <v>7.9062886921710471E-3</v>
      </c>
      <c r="BZ50" s="6">
        <f t="shared" si="31"/>
        <v>4.9178874732797632E-2</v>
      </c>
      <c r="CA50" s="6">
        <f t="shared" si="32"/>
        <v>0.91621197513616082</v>
      </c>
      <c r="CB50" s="41">
        <f t="shared" si="33"/>
        <v>0.94125077725862316</v>
      </c>
      <c r="CC50" s="36"/>
      <c r="CD50" s="35">
        <v>24.515000000000001</v>
      </c>
      <c r="CE50" s="36">
        <v>55.875999999999998</v>
      </c>
      <c r="CF50" s="37">
        <f t="shared" si="34"/>
        <v>80.390999999999991</v>
      </c>
      <c r="CG50" s="33">
        <f t="shared" si="35"/>
        <v>1824.4970000000001</v>
      </c>
      <c r="CH50" s="36">
        <v>2.8769999999999998</v>
      </c>
      <c r="CI50" s="36">
        <v>2.1120000000000001</v>
      </c>
      <c r="CJ50" s="37">
        <f t="shared" si="36"/>
        <v>1819.508</v>
      </c>
      <c r="CK50" s="36">
        <v>199.011</v>
      </c>
      <c r="CL50" s="36">
        <v>121.57599999999999</v>
      </c>
      <c r="CM50" s="37">
        <f t="shared" si="37"/>
        <v>320.58699999999999</v>
      </c>
      <c r="CN50" s="36">
        <v>0</v>
      </c>
      <c r="CO50" s="36">
        <v>0</v>
      </c>
      <c r="CP50" s="36">
        <v>14.154999999999999</v>
      </c>
      <c r="CQ50" s="36">
        <v>6.5379999999999843</v>
      </c>
      <c r="CR50" s="37">
        <f t="shared" si="38"/>
        <v>2241.1790000000001</v>
      </c>
      <c r="CS50" s="36">
        <v>106.288</v>
      </c>
      <c r="CT50" s="33">
        <v>1780.25</v>
      </c>
      <c r="CU50" s="37">
        <f t="shared" si="39"/>
        <v>1886.538</v>
      </c>
      <c r="CV50" s="36">
        <v>50.107999999999997</v>
      </c>
      <c r="CW50" s="36">
        <v>16.205000000000098</v>
      </c>
      <c r="CX50" s="37">
        <f t="shared" si="40"/>
        <v>66.313000000000102</v>
      </c>
      <c r="CY50" s="36">
        <v>0</v>
      </c>
      <c r="CZ50" s="36">
        <v>288.32799999999997</v>
      </c>
      <c r="DA50" s="71">
        <f t="shared" si="41"/>
        <v>2241.1790000000001</v>
      </c>
      <c r="DB50" s="36"/>
      <c r="DC50" s="72">
        <v>279.40199999999999</v>
      </c>
      <c r="DD50" s="36"/>
      <c r="DE50" s="32">
        <v>85</v>
      </c>
      <c r="DF50" s="33">
        <v>70</v>
      </c>
      <c r="DG50" s="33">
        <v>0</v>
      </c>
      <c r="DH50" s="33">
        <v>0</v>
      </c>
      <c r="DI50" s="33">
        <v>0</v>
      </c>
      <c r="DJ50" s="33">
        <v>0</v>
      </c>
      <c r="DK50" s="34">
        <f t="shared" si="42"/>
        <v>155</v>
      </c>
      <c r="DL50" s="63">
        <f t="shared" si="43"/>
        <v>6.9160026932253066E-2</v>
      </c>
      <c r="DM50" s="63">
        <f t="shared" si="44"/>
        <v>0.24263947681108916</v>
      </c>
      <c r="DN50" s="36"/>
      <c r="DO50" s="65" t="s">
        <v>162</v>
      </c>
      <c r="DP50" s="59">
        <v>15</v>
      </c>
      <c r="DQ50" s="59">
        <v>5245</v>
      </c>
      <c r="DR50" s="73">
        <v>3</v>
      </c>
      <c r="DS50" s="59" t="s">
        <v>163</v>
      </c>
      <c r="DT50" s="75" t="s">
        <v>164</v>
      </c>
      <c r="DU50" s="59"/>
      <c r="DV50" s="63" t="s">
        <v>172</v>
      </c>
      <c r="DW50" s="64"/>
      <c r="DX50" s="32">
        <v>208.33527239999998</v>
      </c>
      <c r="DY50" s="33">
        <v>208.33527239999998</v>
      </c>
      <c r="DZ50" s="34">
        <v>208.33527239999998</v>
      </c>
      <c r="EA50" s="33"/>
      <c r="EB50" s="65">
        <f t="shared" si="45"/>
        <v>976.39400000000001</v>
      </c>
      <c r="EC50" s="33">
        <v>959.29600000000005</v>
      </c>
      <c r="ED50" s="34">
        <v>993.49199999999996</v>
      </c>
      <c r="EE50" s="33"/>
      <c r="EF50" s="32">
        <v>16.344999999999999</v>
      </c>
      <c r="EG50" s="33">
        <v>7.3179999999999996</v>
      </c>
      <c r="EH50" s="33">
        <v>32.622</v>
      </c>
      <c r="EI50" s="33">
        <v>11.069000000000001</v>
      </c>
      <c r="EJ50" s="33">
        <v>71.688999999999993</v>
      </c>
      <c r="EK50" s="33">
        <v>0</v>
      </c>
      <c r="EL50" s="33">
        <v>9.2259999999998854</v>
      </c>
      <c r="EM50" s="34">
        <v>1640.807</v>
      </c>
      <c r="EN50" s="34">
        <f t="shared" si="46"/>
        <v>1789.076</v>
      </c>
      <c r="EO50" s="59"/>
      <c r="EP50" s="48">
        <f t="shared" si="74"/>
        <v>9.1360009300890509E-3</v>
      </c>
      <c r="EQ50" s="6">
        <f t="shared" si="74"/>
        <v>4.0903796149520753E-3</v>
      </c>
      <c r="ER50" s="6">
        <f t="shared" si="74"/>
        <v>1.8233993413359746E-2</v>
      </c>
      <c r="ES50" s="6">
        <f t="shared" si="74"/>
        <v>6.186992615182363E-3</v>
      </c>
      <c r="ET50" s="6">
        <f t="shared" si="74"/>
        <v>4.007040505825353E-2</v>
      </c>
      <c r="EU50" s="6">
        <f t="shared" si="74"/>
        <v>0</v>
      </c>
      <c r="EV50" s="6">
        <f t="shared" si="74"/>
        <v>5.1568519168553404E-3</v>
      </c>
      <c r="EW50" s="6">
        <f t="shared" si="72"/>
        <v>0.91712537645130787</v>
      </c>
      <c r="EX50" s="63">
        <f t="shared" si="48"/>
        <v>1</v>
      </c>
      <c r="EY50" s="59"/>
      <c r="EZ50" s="35">
        <v>11.196999999999999</v>
      </c>
      <c r="FA50" s="36">
        <v>3.2280000000000015</v>
      </c>
      <c r="FB50" s="71">
        <f t="shared" si="49"/>
        <v>14.425000000000001</v>
      </c>
      <c r="FD50" s="35">
        <f t="shared" si="75"/>
        <v>2.8769999999999998</v>
      </c>
      <c r="FE50" s="36">
        <f t="shared" si="75"/>
        <v>2.1120000000000001</v>
      </c>
      <c r="FF50" s="71">
        <f t="shared" si="51"/>
        <v>4.9889999999999999</v>
      </c>
      <c r="FH50" s="32">
        <f t="shared" si="52"/>
        <v>1671.626</v>
      </c>
      <c r="FI50" s="33">
        <f t="shared" si="53"/>
        <v>152.87100000000001</v>
      </c>
      <c r="FJ50" s="34">
        <f t="shared" si="54"/>
        <v>1824.4970000000001</v>
      </c>
      <c r="FL50" s="48">
        <v>0.91621197513616082</v>
      </c>
      <c r="FM50" s="6">
        <v>8.3788024863839183E-2</v>
      </c>
      <c r="FN50" s="41">
        <f t="shared" si="55"/>
        <v>1</v>
      </c>
      <c r="FO50" s="59"/>
      <c r="FP50" s="65">
        <f t="shared" si="56"/>
        <v>276.85399999999998</v>
      </c>
      <c r="FQ50" s="33">
        <v>265.38</v>
      </c>
      <c r="FR50" s="34">
        <f t="shared" si="57"/>
        <v>288.32799999999997</v>
      </c>
      <c r="FT50" s="65">
        <f t="shared" si="58"/>
        <v>1788.9625000000001</v>
      </c>
      <c r="FU50" s="33">
        <v>1753.4280000000001</v>
      </c>
      <c r="FV50" s="34">
        <f t="shared" si="59"/>
        <v>1824.4970000000001</v>
      </c>
      <c r="FX50" s="65">
        <f t="shared" si="60"/>
        <v>744.76099999999997</v>
      </c>
      <c r="FY50" s="33">
        <v>711.92499999999995</v>
      </c>
      <c r="FZ50" s="34">
        <f t="shared" si="61"/>
        <v>777.59699999999998</v>
      </c>
      <c r="GB50" s="65">
        <f t="shared" si="62"/>
        <v>2533.7235000000001</v>
      </c>
      <c r="GC50" s="59">
        <f t="shared" si="76"/>
        <v>2465.3530000000001</v>
      </c>
      <c r="GD50" s="73">
        <f t="shared" si="76"/>
        <v>2602.0940000000001</v>
      </c>
      <c r="GF50" s="65">
        <f t="shared" si="64"/>
        <v>1757.8025</v>
      </c>
      <c r="GG50" s="33">
        <v>1735.355</v>
      </c>
      <c r="GH50" s="34">
        <f t="shared" si="65"/>
        <v>1780.25</v>
      </c>
      <c r="GI50" s="33"/>
      <c r="GJ50" s="65">
        <f t="shared" si="66"/>
        <v>2205.7235000000001</v>
      </c>
      <c r="GK50" s="33">
        <v>2170.268</v>
      </c>
      <c r="GL50" s="34">
        <f t="shared" si="67"/>
        <v>2241.1790000000001</v>
      </c>
      <c r="GM50" s="33"/>
      <c r="GN50" s="76">
        <f t="shared" si="68"/>
        <v>0.4432898933998578</v>
      </c>
      <c r="GO50" s="67"/>
    </row>
    <row r="51" spans="2:198" s="1" customFormat="1" ht="13.5" customHeight="1" x14ac:dyDescent="0.2">
      <c r="B51" s="77" t="s">
        <v>220</v>
      </c>
      <c r="C51" s="32">
        <v>6051.1909999999998</v>
      </c>
      <c r="D51" s="33">
        <v>5915.2734999999993</v>
      </c>
      <c r="E51" s="33">
        <v>5293.3019999999997</v>
      </c>
      <c r="F51" s="33">
        <v>614.11599999999999</v>
      </c>
      <c r="G51" s="33">
        <v>4217.0209999999997</v>
      </c>
      <c r="H51" s="33">
        <v>6665.3069999999998</v>
      </c>
      <c r="I51" s="34">
        <v>5907.4179999999997</v>
      </c>
      <c r="J51" s="33"/>
      <c r="K51" s="35">
        <v>62.198999999999998</v>
      </c>
      <c r="L51" s="36">
        <v>7.2279999999999998</v>
      </c>
      <c r="M51" s="36">
        <v>0</v>
      </c>
      <c r="N51" s="37">
        <f t="shared" si="0"/>
        <v>69.426999999999992</v>
      </c>
      <c r="O51" s="36">
        <v>27.914000000000001</v>
      </c>
      <c r="P51" s="37">
        <f t="shared" si="1"/>
        <v>41.512999999999991</v>
      </c>
      <c r="Q51" s="36">
        <v>2.2080000000000002</v>
      </c>
      <c r="R51" s="37">
        <f t="shared" si="2"/>
        <v>39.304999999999993</v>
      </c>
      <c r="S51" s="36">
        <v>3.359</v>
      </c>
      <c r="T51" s="36">
        <v>3.5840000000000001</v>
      </c>
      <c r="U51" s="36">
        <v>-4.55</v>
      </c>
      <c r="V51" s="37">
        <f t="shared" si="3"/>
        <v>41.698</v>
      </c>
      <c r="W51" s="36">
        <v>9.6750000000000007</v>
      </c>
      <c r="X51" s="38">
        <f t="shared" si="4"/>
        <v>32.022999999999996</v>
      </c>
      <c r="Y51" s="36"/>
      <c r="Z51" s="39">
        <f t="shared" si="5"/>
        <v>2.1029965900984968E-2</v>
      </c>
      <c r="AA51" s="40">
        <f t="shared" si="6"/>
        <v>2.4438430446199998E-3</v>
      </c>
      <c r="AB51" s="6">
        <f t="shared" si="7"/>
        <v>0.36551001702239105</v>
      </c>
      <c r="AC51" s="6">
        <f t="shared" si="8"/>
        <v>0.38350781743741935</v>
      </c>
      <c r="AD51" s="6">
        <f t="shared" si="9"/>
        <v>0.40206259812464895</v>
      </c>
      <c r="AE51" s="40">
        <f t="shared" si="10"/>
        <v>9.4379406125515604E-3</v>
      </c>
      <c r="AF51" s="40">
        <f t="shared" si="11"/>
        <v>1.0827225486699812E-2</v>
      </c>
      <c r="AG51" s="40">
        <f t="shared" si="12"/>
        <v>2.2178812214934247E-2</v>
      </c>
      <c r="AH51" s="40">
        <f t="shared" si="13"/>
        <v>3.3560145042215092E-2</v>
      </c>
      <c r="AI51" s="40">
        <f t="shared" si="14"/>
        <v>2.7222253196389799E-2</v>
      </c>
      <c r="AJ51" s="41">
        <f t="shared" si="15"/>
        <v>0.10620619549959413</v>
      </c>
      <c r="AK51" s="42"/>
      <c r="AL51" s="48">
        <f t="shared" si="16"/>
        <v>4.1331395973328557E-2</v>
      </c>
      <c r="AM51" s="6">
        <f t="shared" si="17"/>
        <v>6.5804196737827114E-2</v>
      </c>
      <c r="AN51" s="41">
        <f t="shared" si="18"/>
        <v>5.456951171449085E-2</v>
      </c>
      <c r="AO51" s="36"/>
      <c r="AP51" s="48">
        <f t="shared" si="19"/>
        <v>0.79667115157986457</v>
      </c>
      <c r="AQ51" s="6">
        <f t="shared" si="20"/>
        <v>0.7830027420742024</v>
      </c>
      <c r="AR51" s="6">
        <f t="shared" si="21"/>
        <v>0.16031538254204833</v>
      </c>
      <c r="AS51" s="6">
        <f t="shared" si="22"/>
        <v>0.2256453316380197</v>
      </c>
      <c r="AT51" s="6">
        <f t="shared" si="23"/>
        <v>3.2817341247367661E-2</v>
      </c>
      <c r="AU51" s="69">
        <v>1.64</v>
      </c>
      <c r="AV51" s="70">
        <v>1.39</v>
      </c>
      <c r="AW51" s="36"/>
      <c r="AX51" s="48">
        <f t="shared" si="24"/>
        <v>0.10308152560380264</v>
      </c>
      <c r="AY51" s="6">
        <v>9.4700000000000006E-2</v>
      </c>
      <c r="AZ51" s="6">
        <f t="shared" si="25"/>
        <v>0.18352458780808739</v>
      </c>
      <c r="BA51" s="6">
        <f t="shared" si="26"/>
        <v>0.2006</v>
      </c>
      <c r="BB51" s="41">
        <f t="shared" si="27"/>
        <v>0.22109999999999999</v>
      </c>
      <c r="BC51" s="6"/>
      <c r="BD51" s="48">
        <v>0.18090000000000001</v>
      </c>
      <c r="BE51" s="6">
        <v>0.19820000000000002</v>
      </c>
      <c r="BF51" s="41">
        <v>0.21890000000000001</v>
      </c>
      <c r="BG51" s="6"/>
      <c r="BH51" s="48"/>
      <c r="BI51" s="41">
        <v>0.02</v>
      </c>
      <c r="BJ51" s="48"/>
      <c r="BK51" s="41"/>
      <c r="BL51" s="63"/>
      <c r="BM51" s="6"/>
      <c r="BN51" s="48"/>
      <c r="BO51" s="41">
        <f>BD51-(4.5%+2.5%+3%+2.5%+BI51)</f>
        <v>3.5900000000000015E-2</v>
      </c>
      <c r="BP51" s="6"/>
      <c r="BQ51" s="48"/>
      <c r="BR51" s="41">
        <f>BE51-(6%+2.5%+3%+2.5%+BI51)</f>
        <v>3.8200000000000039E-2</v>
      </c>
      <c r="BS51" s="6"/>
      <c r="BT51" s="48"/>
      <c r="BU51" s="41">
        <f>BF51-(8%+2.5%+3%+2.5%+BI51)</f>
        <v>3.8900000000000018E-2</v>
      </c>
      <c r="BV51" s="36"/>
      <c r="BW51" s="39">
        <f t="shared" si="28"/>
        <v>8.5115339380068911E-4</v>
      </c>
      <c r="BX51" s="6">
        <f t="shared" si="29"/>
        <v>4.5567112431896983E-2</v>
      </c>
      <c r="BY51" s="40">
        <f t="shared" si="30"/>
        <v>9.1568552106038922E-3</v>
      </c>
      <c r="BZ51" s="6">
        <f t="shared" si="31"/>
        <v>7.4900058566375466E-2</v>
      </c>
      <c r="CA51" s="6">
        <f t="shared" si="32"/>
        <v>0.78725510088032014</v>
      </c>
      <c r="CB51" s="41">
        <f t="shared" si="33"/>
        <v>0.80937137003001991</v>
      </c>
      <c r="CC51" s="36"/>
      <c r="CD51" s="35">
        <v>76.981999999999999</v>
      </c>
      <c r="CE51" s="36">
        <v>121.602</v>
      </c>
      <c r="CF51" s="37">
        <f t="shared" si="34"/>
        <v>198.584</v>
      </c>
      <c r="CG51" s="33">
        <f t="shared" si="35"/>
        <v>5293.3019999999997</v>
      </c>
      <c r="CH51" s="36">
        <v>13.946999999999999</v>
      </c>
      <c r="CI51" s="36">
        <v>9.4160000000000004</v>
      </c>
      <c r="CJ51" s="37">
        <f t="shared" si="36"/>
        <v>5269.9389999999994</v>
      </c>
      <c r="CK51" s="36">
        <v>0</v>
      </c>
      <c r="CL51" s="36">
        <v>559.95299999999997</v>
      </c>
      <c r="CM51" s="37">
        <f t="shared" si="37"/>
        <v>559.95299999999997</v>
      </c>
      <c r="CN51" s="36">
        <v>0</v>
      </c>
      <c r="CO51" s="36">
        <v>0</v>
      </c>
      <c r="CP51" s="36">
        <v>16.738</v>
      </c>
      <c r="CQ51" s="36">
        <v>5.9770000000006007</v>
      </c>
      <c r="CR51" s="37">
        <f t="shared" si="38"/>
        <v>6051.1909999999998</v>
      </c>
      <c r="CS51" s="36">
        <v>1.7000000000000001E-2</v>
      </c>
      <c r="CT51" s="33">
        <v>4217.0209999999997</v>
      </c>
      <c r="CU51" s="37">
        <f t="shared" si="39"/>
        <v>4217.0379999999996</v>
      </c>
      <c r="CV51" s="36">
        <v>1058.348</v>
      </c>
      <c r="CW51" s="36">
        <v>41.721000000000231</v>
      </c>
      <c r="CX51" s="37">
        <f t="shared" si="40"/>
        <v>1100.0690000000002</v>
      </c>
      <c r="CY51" s="36">
        <v>110.318</v>
      </c>
      <c r="CZ51" s="36">
        <v>623.76600000000008</v>
      </c>
      <c r="DA51" s="71">
        <f t="shared" si="41"/>
        <v>6051.1910000000007</v>
      </c>
      <c r="DB51" s="36"/>
      <c r="DC51" s="72">
        <v>198.584</v>
      </c>
      <c r="DD51" s="36"/>
      <c r="DE51" s="32">
        <v>250</v>
      </c>
      <c r="DF51" s="33">
        <v>385</v>
      </c>
      <c r="DG51" s="33">
        <v>380</v>
      </c>
      <c r="DH51" s="33">
        <v>150</v>
      </c>
      <c r="DI51" s="33">
        <v>0</v>
      </c>
      <c r="DJ51" s="33">
        <v>0</v>
      </c>
      <c r="DK51" s="34">
        <f t="shared" si="42"/>
        <v>1165</v>
      </c>
      <c r="DL51" s="63">
        <f t="shared" si="43"/>
        <v>0.19252408327550727</v>
      </c>
      <c r="DM51" s="63">
        <f t="shared" si="44"/>
        <v>0.24326748238487267</v>
      </c>
      <c r="DN51" s="36"/>
      <c r="DO51" s="65" t="s">
        <v>221</v>
      </c>
      <c r="DP51" s="59">
        <v>21</v>
      </c>
      <c r="DQ51" s="84">
        <v>12308</v>
      </c>
      <c r="DR51" s="73">
        <v>1</v>
      </c>
      <c r="DS51" s="59" t="s">
        <v>163</v>
      </c>
      <c r="DT51" s="75" t="s">
        <v>164</v>
      </c>
      <c r="DU51" s="62" t="s">
        <v>222</v>
      </c>
      <c r="DV51" s="63" t="s">
        <v>172</v>
      </c>
      <c r="DW51" s="64"/>
      <c r="DX51" s="32">
        <v>537.39431219999994</v>
      </c>
      <c r="DY51" s="33">
        <v>587.39431219999994</v>
      </c>
      <c r="DZ51" s="34">
        <v>647.42214569999999</v>
      </c>
      <c r="EA51" s="33"/>
      <c r="EB51" s="65">
        <f t="shared" si="45"/>
        <v>2887.7110000000002</v>
      </c>
      <c r="EC51" s="33">
        <v>2847.2350000000001</v>
      </c>
      <c r="ED51" s="34">
        <v>2928.1869999999999</v>
      </c>
      <c r="EE51" s="33"/>
      <c r="EF51" s="32">
        <v>34.558999999999997</v>
      </c>
      <c r="EG51" s="33">
        <v>31.19</v>
      </c>
      <c r="EH51" s="33">
        <v>66.944999999999993</v>
      </c>
      <c r="EI51" s="33">
        <v>72.849999999999994</v>
      </c>
      <c r="EJ51" s="33">
        <v>629.25699999999995</v>
      </c>
      <c r="EK51" s="33">
        <v>19.100000000000001</v>
      </c>
      <c r="EL51" s="33">
        <v>168.00500000000011</v>
      </c>
      <c r="EM51" s="34">
        <v>4068.3620000000001</v>
      </c>
      <c r="EN51" s="34">
        <f t="shared" si="46"/>
        <v>5090.268</v>
      </c>
      <c r="EO51" s="59"/>
      <c r="EP51" s="48">
        <f t="shared" si="74"/>
        <v>6.7892299580297145E-3</v>
      </c>
      <c r="EQ51" s="6">
        <f t="shared" si="74"/>
        <v>6.1273787549103505E-3</v>
      </c>
      <c r="ER51" s="6">
        <f t="shared" si="74"/>
        <v>1.315156687231399E-2</v>
      </c>
      <c r="ES51" s="6">
        <f t="shared" si="74"/>
        <v>1.4311623670895127E-2</v>
      </c>
      <c r="ET51" s="6">
        <f t="shared" si="74"/>
        <v>0.12361962081367817</v>
      </c>
      <c r="EU51" s="6">
        <f t="shared" si="74"/>
        <v>3.752258230804351E-3</v>
      </c>
      <c r="EV51" s="6">
        <f t="shared" si="74"/>
        <v>3.3005138432789807E-2</v>
      </c>
      <c r="EW51" s="6">
        <f t="shared" si="72"/>
        <v>0.79924318326657851</v>
      </c>
      <c r="EX51" s="63">
        <f t="shared" si="48"/>
        <v>1</v>
      </c>
      <c r="EY51" s="59"/>
      <c r="EZ51" s="35">
        <v>12.505000000000001</v>
      </c>
      <c r="FA51" s="36">
        <v>35.964999999999996</v>
      </c>
      <c r="FB51" s="71">
        <f t="shared" si="49"/>
        <v>48.47</v>
      </c>
      <c r="FD51" s="35">
        <f t="shared" si="75"/>
        <v>13.946999999999999</v>
      </c>
      <c r="FE51" s="36">
        <f t="shared" si="75"/>
        <v>9.4160000000000004</v>
      </c>
      <c r="FF51" s="71">
        <f t="shared" si="51"/>
        <v>23.363</v>
      </c>
      <c r="FH51" s="32">
        <f t="shared" si="52"/>
        <v>4167.1790000000001</v>
      </c>
      <c r="FI51" s="33">
        <f t="shared" si="53"/>
        <v>1126.1229999999996</v>
      </c>
      <c r="FJ51" s="34">
        <f t="shared" si="54"/>
        <v>5293.3019999999997</v>
      </c>
      <c r="FL51" s="48">
        <v>0.78725510088032014</v>
      </c>
      <c r="FM51" s="6">
        <v>0.21274489911967986</v>
      </c>
      <c r="FN51" s="41">
        <f t="shared" si="55"/>
        <v>1</v>
      </c>
      <c r="FO51" s="59"/>
      <c r="FP51" s="65">
        <f t="shared" si="56"/>
        <v>603.03449999999998</v>
      </c>
      <c r="FQ51" s="33">
        <v>582.303</v>
      </c>
      <c r="FR51" s="34">
        <f t="shared" si="57"/>
        <v>623.76600000000008</v>
      </c>
      <c r="FT51" s="65">
        <f t="shared" si="58"/>
        <v>5188.2539999999999</v>
      </c>
      <c r="FU51" s="33">
        <v>5083.2060000000001</v>
      </c>
      <c r="FV51" s="34">
        <f t="shared" si="59"/>
        <v>5293.3019999999997</v>
      </c>
      <c r="FX51" s="65">
        <f t="shared" si="60"/>
        <v>536.798</v>
      </c>
      <c r="FY51" s="33">
        <v>459.48</v>
      </c>
      <c r="FZ51" s="34">
        <f t="shared" si="61"/>
        <v>614.11599999999999</v>
      </c>
      <c r="GB51" s="65">
        <f t="shared" si="62"/>
        <v>5725.0519999999997</v>
      </c>
      <c r="GC51" s="59">
        <f t="shared" si="76"/>
        <v>5542.6859999999997</v>
      </c>
      <c r="GD51" s="73">
        <f t="shared" si="76"/>
        <v>5907.4179999999997</v>
      </c>
      <c r="GF51" s="65">
        <f t="shared" si="64"/>
        <v>4107.9144999999999</v>
      </c>
      <c r="GG51" s="33">
        <v>3998.808</v>
      </c>
      <c r="GH51" s="34">
        <f t="shared" si="65"/>
        <v>4217.0209999999997</v>
      </c>
      <c r="GI51" s="33"/>
      <c r="GJ51" s="65">
        <f t="shared" si="66"/>
        <v>5915.2734999999993</v>
      </c>
      <c r="GK51" s="33">
        <v>5779.3559999999998</v>
      </c>
      <c r="GL51" s="34">
        <f t="shared" si="67"/>
        <v>6051.1909999999998</v>
      </c>
      <c r="GM51" s="33"/>
      <c r="GN51" s="76">
        <f t="shared" si="68"/>
        <v>0.48390259041567191</v>
      </c>
      <c r="GO51" s="67"/>
    </row>
    <row r="52" spans="2:198" s="1" customFormat="1" ht="13.5" customHeight="1" x14ac:dyDescent="0.2">
      <c r="B52" s="77" t="s">
        <v>223</v>
      </c>
      <c r="C52" s="32">
        <v>3536.6550000000002</v>
      </c>
      <c r="D52" s="33">
        <v>3444.3065000000001</v>
      </c>
      <c r="E52" s="33">
        <v>2961.9380000000001</v>
      </c>
      <c r="F52" s="33">
        <v>974.149</v>
      </c>
      <c r="G52" s="33">
        <v>2590.924</v>
      </c>
      <c r="H52" s="33">
        <v>4510.8040000000001</v>
      </c>
      <c r="I52" s="34">
        <v>3936.087</v>
      </c>
      <c r="J52" s="33"/>
      <c r="K52" s="35">
        <v>37.959000000000003</v>
      </c>
      <c r="L52" s="36">
        <v>8.7740000000000009</v>
      </c>
      <c r="M52" s="36">
        <v>0.26</v>
      </c>
      <c r="N52" s="37">
        <f t="shared" si="0"/>
        <v>46.993000000000002</v>
      </c>
      <c r="O52" s="36">
        <v>23.466999999999999</v>
      </c>
      <c r="P52" s="37">
        <f t="shared" si="1"/>
        <v>23.526000000000003</v>
      </c>
      <c r="Q52" s="36">
        <v>0.65100000000000002</v>
      </c>
      <c r="R52" s="37">
        <f t="shared" si="2"/>
        <v>22.875000000000004</v>
      </c>
      <c r="S52" s="36">
        <v>3.6840000000000002</v>
      </c>
      <c r="T52" s="36">
        <v>0.99499999999999988</v>
      </c>
      <c r="U52" s="36">
        <v>-1.464</v>
      </c>
      <c r="V52" s="37">
        <f t="shared" si="3"/>
        <v>26.090000000000007</v>
      </c>
      <c r="W52" s="36">
        <v>5.5640000000000001</v>
      </c>
      <c r="X52" s="38">
        <f t="shared" si="4"/>
        <v>20.526000000000007</v>
      </c>
      <c r="Y52" s="36"/>
      <c r="Z52" s="39">
        <f t="shared" si="5"/>
        <v>2.2041592407644327E-2</v>
      </c>
      <c r="AA52" s="40">
        <f t="shared" si="6"/>
        <v>5.0947846830704533E-3</v>
      </c>
      <c r="AB52" s="6">
        <f t="shared" si="7"/>
        <v>0.45415311967796873</v>
      </c>
      <c r="AC52" s="6">
        <f t="shared" si="8"/>
        <v>0.46307003176983641</v>
      </c>
      <c r="AD52" s="6">
        <f t="shared" si="9"/>
        <v>0.49937224693039384</v>
      </c>
      <c r="AE52" s="40">
        <f t="shared" si="10"/>
        <v>1.3626545721177833E-2</v>
      </c>
      <c r="AF52" s="40">
        <f t="shared" si="11"/>
        <v>1.1918799909357665E-2</v>
      </c>
      <c r="AG52" s="40">
        <f t="shared" si="12"/>
        <v>2.3398505874420276E-2</v>
      </c>
      <c r="AH52" s="40">
        <f t="shared" si="13"/>
        <v>3.2152141585697347E-2</v>
      </c>
      <c r="AI52" s="40">
        <f t="shared" si="14"/>
        <v>2.6076236084836973E-2</v>
      </c>
      <c r="AJ52" s="41">
        <f t="shared" si="15"/>
        <v>0.10455432230196776</v>
      </c>
      <c r="AK52" s="42"/>
      <c r="AL52" s="48">
        <f t="shared" si="16"/>
        <v>4.5902005193601922E-2</v>
      </c>
      <c r="AM52" s="6">
        <f t="shared" si="17"/>
        <v>7.8670502220187025E-2</v>
      </c>
      <c r="AN52" s="41">
        <f t="shared" si="18"/>
        <v>4.2255844105168403E-2</v>
      </c>
      <c r="AO52" s="36"/>
      <c r="AP52" s="48">
        <f t="shared" si="19"/>
        <v>0.87473944424224948</v>
      </c>
      <c r="AQ52" s="6">
        <f t="shared" si="20"/>
        <v>0.83598284103760412</v>
      </c>
      <c r="AR52" s="6">
        <f t="shared" si="21"/>
        <v>1.8360286768146744E-2</v>
      </c>
      <c r="AS52" s="6">
        <f t="shared" si="22"/>
        <v>0.25877799785390432</v>
      </c>
      <c r="AT52" s="6">
        <f t="shared" si="23"/>
        <v>0.12537185560932576</v>
      </c>
      <c r="AU52" s="69">
        <v>2.08</v>
      </c>
      <c r="AV52" s="70">
        <v>1.46</v>
      </c>
      <c r="AW52" s="36"/>
      <c r="AX52" s="48">
        <f t="shared" si="24"/>
        <v>0.11690368441366204</v>
      </c>
      <c r="AY52" s="6">
        <v>0.10009999999999999</v>
      </c>
      <c r="AZ52" s="6">
        <f t="shared" si="25"/>
        <v>0.17717147432759964</v>
      </c>
      <c r="BA52" s="6">
        <f t="shared" si="26"/>
        <v>0.1995461301075046</v>
      </c>
      <c r="BB52" s="41">
        <f t="shared" si="27"/>
        <v>0.2219207858874096</v>
      </c>
      <c r="BC52" s="6"/>
      <c r="BD52" s="48">
        <v>0.1759</v>
      </c>
      <c r="BE52" s="6">
        <v>0.1978</v>
      </c>
      <c r="BF52" s="41">
        <v>0.21990000000000001</v>
      </c>
      <c r="BG52" s="6"/>
      <c r="BH52" s="48"/>
      <c r="BI52" s="41"/>
      <c r="BJ52" s="48"/>
      <c r="BK52" s="41"/>
      <c r="BL52" s="63"/>
      <c r="BM52" s="6"/>
      <c r="BN52" s="48"/>
      <c r="BO52" s="41"/>
      <c r="BP52" s="6"/>
      <c r="BQ52" s="48"/>
      <c r="BR52" s="41"/>
      <c r="BS52" s="6"/>
      <c r="BT52" s="48"/>
      <c r="BU52" s="41"/>
      <c r="BV52" s="36"/>
      <c r="BW52" s="39">
        <f t="shared" si="28"/>
        <v>4.494394433854734E-4</v>
      </c>
      <c r="BX52" s="6">
        <f t="shared" si="29"/>
        <v>2.3081014004609109E-2</v>
      </c>
      <c r="BY52" s="40">
        <f t="shared" si="30"/>
        <v>9.065686047445962E-3</v>
      </c>
      <c r="BZ52" s="6">
        <f t="shared" si="31"/>
        <v>6.3581666165470507E-2</v>
      </c>
      <c r="CA52" s="6">
        <f t="shared" si="32"/>
        <v>0.76369694436547964</v>
      </c>
      <c r="CB52" s="41">
        <f t="shared" si="33"/>
        <v>0.82217999754578597</v>
      </c>
      <c r="CC52" s="36"/>
      <c r="CD52" s="35">
        <v>77.885000000000005</v>
      </c>
      <c r="CE52" s="36">
        <v>81.031000000000006</v>
      </c>
      <c r="CF52" s="37">
        <f t="shared" si="34"/>
        <v>158.916</v>
      </c>
      <c r="CG52" s="33">
        <f t="shared" si="35"/>
        <v>2961.9380000000001</v>
      </c>
      <c r="CH52" s="36">
        <v>5.4939999999999998</v>
      </c>
      <c r="CI52" s="36">
        <v>3.3810000000000002</v>
      </c>
      <c r="CJ52" s="37">
        <f t="shared" si="36"/>
        <v>2953.0630000000001</v>
      </c>
      <c r="CK52" s="36">
        <v>283.73599999999999</v>
      </c>
      <c r="CL52" s="36">
        <v>109.21299999999999</v>
      </c>
      <c r="CM52" s="37">
        <f t="shared" si="37"/>
        <v>392.94899999999996</v>
      </c>
      <c r="CN52" s="36">
        <v>8.5</v>
      </c>
      <c r="CO52" s="36">
        <v>0</v>
      </c>
      <c r="CP52" s="36">
        <v>13.728999999999999</v>
      </c>
      <c r="CQ52" s="36">
        <v>9.4979999999999762</v>
      </c>
      <c r="CR52" s="37">
        <f t="shared" si="38"/>
        <v>3536.6550000000002</v>
      </c>
      <c r="CS52" s="36">
        <v>125.922</v>
      </c>
      <c r="CT52" s="33">
        <v>2590.924</v>
      </c>
      <c r="CU52" s="37">
        <f t="shared" si="39"/>
        <v>2716.846</v>
      </c>
      <c r="CV52" s="36">
        <v>302.21199999999999</v>
      </c>
      <c r="CW52" s="36">
        <v>23.952000000000226</v>
      </c>
      <c r="CX52" s="37">
        <f t="shared" si="40"/>
        <v>326.16400000000021</v>
      </c>
      <c r="CY52" s="36">
        <v>80.197000000000003</v>
      </c>
      <c r="CZ52" s="36">
        <v>413.44799999999998</v>
      </c>
      <c r="DA52" s="71">
        <f t="shared" si="41"/>
        <v>3536.6550000000002</v>
      </c>
      <c r="DB52" s="36"/>
      <c r="DC52" s="72">
        <v>443.39699999999999</v>
      </c>
      <c r="DD52" s="36"/>
      <c r="DE52" s="32">
        <v>125</v>
      </c>
      <c r="DF52" s="33">
        <v>100</v>
      </c>
      <c r="DG52" s="33">
        <v>190</v>
      </c>
      <c r="DH52" s="33">
        <v>50</v>
      </c>
      <c r="DI52" s="33">
        <v>40</v>
      </c>
      <c r="DJ52" s="33">
        <v>0</v>
      </c>
      <c r="DK52" s="34">
        <f t="shared" si="42"/>
        <v>505</v>
      </c>
      <c r="DL52" s="63">
        <f t="shared" si="43"/>
        <v>0.14279029195666526</v>
      </c>
      <c r="DM52" s="63">
        <f t="shared" si="44"/>
        <v>0.28051209405497562</v>
      </c>
      <c r="DN52" s="36"/>
      <c r="DO52" s="65" t="s">
        <v>168</v>
      </c>
      <c r="DP52" s="59">
        <v>23.3</v>
      </c>
      <c r="DQ52" s="59">
        <v>7196</v>
      </c>
      <c r="DR52" s="73">
        <v>2</v>
      </c>
      <c r="DS52" s="59" t="s">
        <v>163</v>
      </c>
      <c r="DT52" s="75" t="s">
        <v>164</v>
      </c>
      <c r="DU52" s="59"/>
      <c r="DV52" s="63" t="s">
        <v>172</v>
      </c>
      <c r="DW52" s="64"/>
      <c r="DX52" s="32">
        <v>316.73599999999999</v>
      </c>
      <c r="DY52" s="33">
        <v>356.73599999999999</v>
      </c>
      <c r="DZ52" s="34">
        <v>396.73599999999999</v>
      </c>
      <c r="EA52" s="33"/>
      <c r="EB52" s="65">
        <f t="shared" si="45"/>
        <v>1754.471</v>
      </c>
      <c r="EC52" s="33">
        <v>1721.2049999999999</v>
      </c>
      <c r="ED52" s="34">
        <v>1787.7370000000001</v>
      </c>
      <c r="EE52" s="33"/>
      <c r="EF52" s="32">
        <v>89.108000000000004</v>
      </c>
      <c r="EG52" s="33">
        <v>21.92</v>
      </c>
      <c r="EH52" s="33">
        <v>70.349999999999994</v>
      </c>
      <c r="EI52" s="33">
        <v>81.715999999999994</v>
      </c>
      <c r="EJ52" s="33">
        <v>323.46600000000001</v>
      </c>
      <c r="EK52" s="33">
        <v>7.5220000000000002</v>
      </c>
      <c r="EL52" s="33">
        <v>66.476999999999862</v>
      </c>
      <c r="EM52" s="34">
        <v>2282.8620000000001</v>
      </c>
      <c r="EN52" s="34">
        <f t="shared" si="46"/>
        <v>2943.4209999999998</v>
      </c>
      <c r="EO52" s="59"/>
      <c r="EP52" s="48">
        <f t="shared" si="74"/>
        <v>3.0273616991928782E-2</v>
      </c>
      <c r="EQ52" s="6">
        <f t="shared" si="74"/>
        <v>7.4471168072796938E-3</v>
      </c>
      <c r="ER52" s="6">
        <f t="shared" si="74"/>
        <v>2.3900760373728392E-2</v>
      </c>
      <c r="ES52" s="6">
        <f t="shared" si="74"/>
        <v>2.7762253513853436E-2</v>
      </c>
      <c r="ET52" s="6">
        <f t="shared" si="74"/>
        <v>0.1098945750539933</v>
      </c>
      <c r="EU52" s="6">
        <f t="shared" si="74"/>
        <v>2.5555297730090261E-3</v>
      </c>
      <c r="EV52" s="6">
        <f t="shared" si="74"/>
        <v>2.2584944525434813E-2</v>
      </c>
      <c r="EW52" s="6">
        <f t="shared" si="72"/>
        <v>0.7755812029607726</v>
      </c>
      <c r="EX52" s="63">
        <f t="shared" si="48"/>
        <v>1</v>
      </c>
      <c r="EY52" s="59"/>
      <c r="EZ52" s="35">
        <v>3.7089999999999996</v>
      </c>
      <c r="FA52" s="36">
        <v>23.143000000000001</v>
      </c>
      <c r="FB52" s="71">
        <f t="shared" si="49"/>
        <v>26.852</v>
      </c>
      <c r="FD52" s="35">
        <f t="shared" si="75"/>
        <v>5.4939999999999998</v>
      </c>
      <c r="FE52" s="36">
        <f t="shared" si="75"/>
        <v>3.3810000000000002</v>
      </c>
      <c r="FF52" s="71">
        <f t="shared" si="51"/>
        <v>8.875</v>
      </c>
      <c r="FH52" s="32">
        <f t="shared" si="52"/>
        <v>2262.0230000000001</v>
      </c>
      <c r="FI52" s="33">
        <f t="shared" si="53"/>
        <v>699.91499999999996</v>
      </c>
      <c r="FJ52" s="34">
        <f t="shared" si="54"/>
        <v>2961.9380000000001</v>
      </c>
      <c r="FL52" s="48">
        <v>0.76369694436547964</v>
      </c>
      <c r="FM52" s="6">
        <v>0.23630305563452036</v>
      </c>
      <c r="FN52" s="41">
        <f t="shared" si="55"/>
        <v>1</v>
      </c>
      <c r="FO52" s="59"/>
      <c r="FP52" s="65">
        <f t="shared" si="56"/>
        <v>392.63799999999998</v>
      </c>
      <c r="FQ52" s="33">
        <v>371.82799999999997</v>
      </c>
      <c r="FR52" s="34">
        <f t="shared" si="57"/>
        <v>413.44799999999998</v>
      </c>
      <c r="FT52" s="65">
        <f t="shared" si="58"/>
        <v>2896.942</v>
      </c>
      <c r="FU52" s="33">
        <v>2831.9459999999999</v>
      </c>
      <c r="FV52" s="34">
        <f t="shared" si="59"/>
        <v>2961.9380000000001</v>
      </c>
      <c r="FX52" s="65">
        <f t="shared" si="60"/>
        <v>895.61</v>
      </c>
      <c r="FY52" s="33">
        <v>817.07100000000003</v>
      </c>
      <c r="FZ52" s="34">
        <f t="shared" si="61"/>
        <v>974.149</v>
      </c>
      <c r="GB52" s="65">
        <f t="shared" si="62"/>
        <v>3792.5519999999997</v>
      </c>
      <c r="GC52" s="59">
        <f t="shared" si="76"/>
        <v>3649.0169999999998</v>
      </c>
      <c r="GD52" s="73">
        <f t="shared" si="76"/>
        <v>3936.087</v>
      </c>
      <c r="GF52" s="65">
        <f t="shared" si="64"/>
        <v>2538.4025000000001</v>
      </c>
      <c r="GG52" s="33">
        <v>2485.8809999999999</v>
      </c>
      <c r="GH52" s="34">
        <f t="shared" si="65"/>
        <v>2590.924</v>
      </c>
      <c r="GI52" s="33"/>
      <c r="GJ52" s="65">
        <f t="shared" si="66"/>
        <v>3444.3065000000001</v>
      </c>
      <c r="GK52" s="33">
        <v>3351.9580000000001</v>
      </c>
      <c r="GL52" s="34">
        <f t="shared" si="67"/>
        <v>3536.6550000000002</v>
      </c>
      <c r="GM52" s="33"/>
      <c r="GN52" s="76">
        <f t="shared" si="68"/>
        <v>0.50548809538957007</v>
      </c>
      <c r="GO52" s="67"/>
    </row>
    <row r="53" spans="2:198" s="1" customFormat="1" ht="13.5" customHeight="1" x14ac:dyDescent="0.2">
      <c r="B53" s="103" t="s">
        <v>224</v>
      </c>
      <c r="C53" s="104">
        <f>SUM(C5:C52)</f>
        <v>325485.99800000002</v>
      </c>
      <c r="D53" s="104">
        <f>SUM(D5:D52)</f>
        <v>318051.14799999999</v>
      </c>
      <c r="E53" s="104">
        <f>SUM(E5:E52)</f>
        <v>261752.95099999997</v>
      </c>
      <c r="F53" s="104">
        <f>SUM(F5:F52)</f>
        <v>89847.463000000003</v>
      </c>
      <c r="G53" s="104">
        <f>SUM(G5:G52)</f>
        <v>223384.05800000005</v>
      </c>
      <c r="H53" s="104">
        <f>SUM(H5:H52)</f>
        <v>415333.46099999995</v>
      </c>
      <c r="I53" s="104">
        <f>SUM(I5:I52)</f>
        <v>351600.41400000005</v>
      </c>
      <c r="J53" s="104"/>
      <c r="K53" s="105">
        <f>SUM(K5:K52)</f>
        <v>3590.4459999999995</v>
      </c>
      <c r="L53" s="105">
        <f>SUM(L5:L52)</f>
        <v>775.16099999999994</v>
      </c>
      <c r="M53" s="105">
        <f>SUM(M5:M52)</f>
        <v>16.797999999999995</v>
      </c>
      <c r="N53" s="106">
        <f t="shared" si="0"/>
        <v>4382.4049999999988</v>
      </c>
      <c r="O53" s="105">
        <v>2384.3837000000008</v>
      </c>
      <c r="P53" s="106">
        <f t="shared" si="1"/>
        <v>1998.0212999999981</v>
      </c>
      <c r="Q53" s="105">
        <f>SUM(Q5:Q52)</f>
        <v>127.46199999999999</v>
      </c>
      <c r="R53" s="106">
        <f t="shared" si="2"/>
        <v>1870.5592999999981</v>
      </c>
      <c r="S53" s="105">
        <f>SUM(S5:S52)</f>
        <v>491.33600000000007</v>
      </c>
      <c r="T53" s="105">
        <f>SUM(T5:T52)</f>
        <v>17.730000000000004</v>
      </c>
      <c r="U53" s="105">
        <f>SUM(U5:U52)</f>
        <v>-178.80000000000004</v>
      </c>
      <c r="V53" s="107">
        <f t="shared" si="3"/>
        <v>2200.8252999999982</v>
      </c>
      <c r="W53" s="105">
        <f>SUM(W5:W52)</f>
        <v>527.50199999999984</v>
      </c>
      <c r="X53" s="107">
        <f t="shared" si="4"/>
        <v>1673.3232999999982</v>
      </c>
      <c r="Y53" s="105"/>
      <c r="Z53" s="108">
        <f t="shared" si="5"/>
        <v>2.2577789909439344E-2</v>
      </c>
      <c r="AA53" s="109">
        <f t="shared" si="6"/>
        <v>4.8744423962902971E-3</v>
      </c>
      <c r="AB53" s="110">
        <f t="shared" si="7"/>
        <v>0.48745739267390148</v>
      </c>
      <c r="AC53" s="110">
        <f t="shared" si="8"/>
        <v>0.48923069568120287</v>
      </c>
      <c r="AD53" s="110">
        <f t="shared" si="9"/>
        <v>0.54408109245950598</v>
      </c>
      <c r="AE53" s="109">
        <f t="shared" si="10"/>
        <v>1.4993712269197663E-2</v>
      </c>
      <c r="AF53" s="109">
        <f>X53/D53*2</f>
        <v>1.0522353467499499E-2</v>
      </c>
      <c r="AG53" s="109">
        <f t="shared" si="12"/>
        <v>2.1953920598217287E-2</v>
      </c>
      <c r="AH53" s="109">
        <f t="shared" si="13"/>
        <v>3.2892863869760841E-2</v>
      </c>
      <c r="AI53" s="109">
        <f t="shared" si="14"/>
        <v>2.4541647359154629E-2</v>
      </c>
      <c r="AJ53" s="111">
        <f t="shared" si="15"/>
        <v>8.5693158468566746E-2</v>
      </c>
      <c r="AK53" s="105"/>
      <c r="AL53" s="110">
        <f t="shared" si="16"/>
        <v>6.7170353163560376E-2</v>
      </c>
      <c r="AM53" s="110">
        <f t="shared" si="17"/>
        <v>6.5098485278758861E-2</v>
      </c>
      <c r="AN53" s="110">
        <f t="shared" si="18"/>
        <v>3.3858711273495275E-2</v>
      </c>
      <c r="AO53" s="105"/>
      <c r="AP53" s="110">
        <f t="shared" si="19"/>
        <v>0.8534156239560412</v>
      </c>
      <c r="AQ53" s="110">
        <f t="shared" si="20"/>
        <v>0.79199113882321448</v>
      </c>
      <c r="AR53" s="110">
        <f t="shared" si="21"/>
        <v>3.7660056270684805E-2</v>
      </c>
      <c r="AS53" s="110">
        <f t="shared" si="22"/>
        <v>0.30449650402472922</v>
      </c>
      <c r="AT53" s="110">
        <f t="shared" si="23"/>
        <v>0.14259247797197103</v>
      </c>
      <c r="AU53" s="110"/>
      <c r="AV53" s="110"/>
      <c r="AW53" s="105"/>
      <c r="AX53" s="109">
        <f t="shared" si="24"/>
        <v>0.12611542202193285</v>
      </c>
      <c r="AY53" s="109"/>
      <c r="AZ53" s="109">
        <f t="shared" si="25"/>
        <v>0.19478516666933421</v>
      </c>
      <c r="BA53" s="109">
        <f t="shared" si="26"/>
        <v>0.20628425071034395</v>
      </c>
      <c r="BB53" s="112">
        <f t="shared" si="27"/>
        <v>0.22304829396385617</v>
      </c>
      <c r="BC53" s="105"/>
      <c r="BD53" s="110">
        <f>SUMPRODUCT(BD5:BD52,ED5:ED52)/ED53</f>
        <v>0.19319778256775763</v>
      </c>
      <c r="BE53" s="110"/>
      <c r="BF53" s="110"/>
      <c r="BG53" s="110"/>
      <c r="BH53" s="109"/>
      <c r="BI53" s="109">
        <f>AVERAGE(BI5:BI52)</f>
        <v>2.4805555555555567E-2</v>
      </c>
      <c r="BJ53" s="109"/>
      <c r="BK53" s="109"/>
      <c r="BL53" s="109">
        <f>AVERAGE(BL5:BL52)</f>
        <v>1.2142857142857141E-2</v>
      </c>
      <c r="BM53" s="109"/>
      <c r="BN53" s="110"/>
      <c r="BO53" s="110"/>
      <c r="BP53" s="110"/>
      <c r="BQ53" s="110"/>
      <c r="BR53" s="110"/>
      <c r="BS53" s="110"/>
      <c r="BT53" s="110"/>
      <c r="BU53" s="110"/>
      <c r="BV53" s="105"/>
      <c r="BW53" s="108">
        <f t="shared" si="28"/>
        <v>1.00555682327455E-3</v>
      </c>
      <c r="BX53" s="109">
        <f t="shared" si="29"/>
        <v>5.0840670765633124E-2</v>
      </c>
      <c r="BY53" s="109">
        <f>FB53/E53</f>
        <v>1.1744562910391023E-2</v>
      </c>
      <c r="BZ53" s="109">
        <f t="shared" si="31"/>
        <v>7.2795369377820204E-2</v>
      </c>
      <c r="CA53" s="109">
        <f t="shared" si="32"/>
        <v>0.7344811023735125</v>
      </c>
      <c r="CB53" s="110">
        <f t="shared" si="33"/>
        <v>0.80233141875652059</v>
      </c>
      <c r="CC53" s="105"/>
      <c r="CD53" s="105">
        <f>SUM(CD5:CD52)</f>
        <v>3975.1659999999997</v>
      </c>
      <c r="CE53" s="105">
        <f>SUM(CE5:CE52)</f>
        <v>11754.875000000004</v>
      </c>
      <c r="CF53" s="107">
        <f>SUM(CF5:CF52)</f>
        <v>15730.040999999997</v>
      </c>
      <c r="CG53" s="105">
        <f>SUM(CG5:CG52)</f>
        <v>261752.95099999997</v>
      </c>
      <c r="CH53" s="105">
        <f>SUM(CH5:CH52)</f>
        <v>558.73699999999997</v>
      </c>
      <c r="CI53" s="105">
        <f>SUM(CI5:CI52)</f>
        <v>622.80999999999983</v>
      </c>
      <c r="CJ53" s="107">
        <f>SUM(CJ5:CJ52)</f>
        <v>260571.40400000007</v>
      </c>
      <c r="CK53" s="105">
        <f>SUM(CK5:CK52)</f>
        <v>30483.270999999997</v>
      </c>
      <c r="CL53" s="105">
        <f>SUM(CL5:CL52)</f>
        <v>15496.190999999999</v>
      </c>
      <c r="CM53" s="107">
        <f>SUM(CM5:CM52)</f>
        <v>45979.461999999992</v>
      </c>
      <c r="CN53" s="105">
        <f>SUM(CN5:CN52)</f>
        <v>598.995</v>
      </c>
      <c r="CO53" s="105">
        <f>SUM(CO5:CO52)</f>
        <v>13.803999999999998</v>
      </c>
      <c r="CP53" s="105">
        <f>SUM(CP5:CP52)</f>
        <v>1977.5640000000001</v>
      </c>
      <c r="CQ53" s="105">
        <f>SUM(CQ5:CQ52)</f>
        <v>614.72800000000177</v>
      </c>
      <c r="CR53" s="107">
        <f>SUM(CR5:CR52)</f>
        <v>325485.99800000002</v>
      </c>
      <c r="CS53" s="105">
        <f>SUM(CS5:CS52)</f>
        <v>2648.1559999999995</v>
      </c>
      <c r="CT53" s="105">
        <f>SUM(CT5:CT52)</f>
        <v>223384.05800000005</v>
      </c>
      <c r="CU53" s="107">
        <f>SUM(CU5:CU52)</f>
        <v>226032.21400000001</v>
      </c>
      <c r="CV53" s="105">
        <f>SUM(CV5:CV52)</f>
        <v>51537.46100000001</v>
      </c>
      <c r="CW53" s="105">
        <f>SUM(CW5:CW52)</f>
        <v>2383.4600000000009</v>
      </c>
      <c r="CX53" s="107">
        <f>SUM(CX5:CX52)</f>
        <v>53920.921000000009</v>
      </c>
      <c r="CY53" s="105">
        <f>SUM(CY5:CY52)</f>
        <v>4484.0590000000002</v>
      </c>
      <c r="CZ53" s="105">
        <f>SUM(CZ5:CZ52)</f>
        <v>41048.803999999996</v>
      </c>
      <c r="DA53" s="105">
        <f>SUM(DA5:DA52)</f>
        <v>325485.99800000002</v>
      </c>
      <c r="DB53" s="104"/>
      <c r="DC53" s="104">
        <f>SUM(DC5:DC52)</f>
        <v>46411.85500000001</v>
      </c>
      <c r="DD53" s="105"/>
      <c r="DE53" s="104">
        <f>SUM(DE5:DE52)</f>
        <v>11365</v>
      </c>
      <c r="DF53" s="104">
        <f>SUM(DF5:DF52)</f>
        <v>14914</v>
      </c>
      <c r="DG53" s="104">
        <f>SUM(DG5:DG52)</f>
        <v>14540</v>
      </c>
      <c r="DH53" s="104">
        <f>SUM(DH5:DH52)</f>
        <v>9635</v>
      </c>
      <c r="DI53" s="104">
        <f>SUM(DI5:DI52)</f>
        <v>6155</v>
      </c>
      <c r="DJ53" s="104">
        <f>SUM(DJ5:DJ52)</f>
        <v>1501.5</v>
      </c>
      <c r="DK53" s="104">
        <f>SUM(DK5:DK52)</f>
        <v>58110.5</v>
      </c>
      <c r="DL53" s="113">
        <f>DK53/C53</f>
        <v>0.17853456172329724</v>
      </c>
      <c r="DM53" s="113">
        <f t="shared" si="44"/>
        <v>0.31655503503410304</v>
      </c>
      <c r="DN53" s="105"/>
      <c r="DO53" s="114"/>
      <c r="DP53" s="104">
        <f>SUM(DP5:DP52)</f>
        <v>1786.2</v>
      </c>
      <c r="DQ53" s="104">
        <f>SUM(DQ5:DQ52)</f>
        <v>655619</v>
      </c>
      <c r="DR53" s="104">
        <f>SUM(DR5:DR52)</f>
        <v>180</v>
      </c>
      <c r="DS53" s="115"/>
      <c r="DT53" s="115">
        <f>COUNTIF(DT5:DT52,"=yes")</f>
        <v>40</v>
      </c>
      <c r="DU53" s="115">
        <f>COUNTIF(DU5:DU52,"=EC")+COUNTIF(DU5:DU52,"=EC (listed)")+COUNTIF(DU5:DU52,"=stocks")+COUNTIF(DU5:DU52,"=stocks listed")+COUNTIF(DU5:DU52,"=EC (1Q18)")+COUNTIF(DU5:DU52,"=EC (2Q18)")</f>
        <v>27</v>
      </c>
      <c r="DV53" s="116"/>
      <c r="DW53" s="116"/>
      <c r="DX53" s="104">
        <f>SUM(DX5:DX52)</f>
        <v>30510.8686008</v>
      </c>
      <c r="DY53" s="104">
        <f>SUM(DY5:DY52)</f>
        <v>32312.068600799998</v>
      </c>
      <c r="DZ53" s="104">
        <f>SUM(DZ5:DZ52)</f>
        <v>34937.964246099997</v>
      </c>
      <c r="EA53" s="104"/>
      <c r="EB53" s="104">
        <f>SUM(EB5:EB52)</f>
        <v>152439.58749999999</v>
      </c>
      <c r="EC53" s="104">
        <f>SUM(EC5:EC52)</f>
        <v>148240.61199999999</v>
      </c>
      <c r="ED53" s="104">
        <f>SUM(ED5:ED52)</f>
        <v>156638.56299999997</v>
      </c>
      <c r="EE53" s="104"/>
      <c r="EF53" s="104">
        <f>SUM(EF5:EF52)</f>
        <v>11241.647999999999</v>
      </c>
      <c r="EG53" s="104">
        <f>SUM(EG5:EG52)</f>
        <v>2154.8840000000005</v>
      </c>
      <c r="EH53" s="104">
        <f>SUM(EH5:EH52)</f>
        <v>12753.656999999999</v>
      </c>
      <c r="EI53" s="104">
        <f>SUM(EI5:EI52)</f>
        <v>2602.393</v>
      </c>
      <c r="EJ53" s="104">
        <f>SUM(EJ5:EJ52)</f>
        <v>30594.379000000001</v>
      </c>
      <c r="EK53" s="104">
        <f>SUM(EK5:EK52)</f>
        <v>1201.0719999999999</v>
      </c>
      <c r="EL53" s="104">
        <f>SUM(EL5:EL52)</f>
        <v>5083.4220000000014</v>
      </c>
      <c r="EM53" s="104">
        <f>SUM(EM5:EM52)</f>
        <v>186141.65200000003</v>
      </c>
      <c r="EN53" s="104">
        <f>SUM(EN5:EN52)</f>
        <v>251773.10700000005</v>
      </c>
      <c r="EO53" s="104"/>
      <c r="EP53" s="110">
        <f t="shared" ref="EP53:EW53" si="77">EF53/$EN53</f>
        <v>4.4649915687778353E-2</v>
      </c>
      <c r="EQ53" s="110">
        <f t="shared" si="77"/>
        <v>8.5588330925272342E-3</v>
      </c>
      <c r="ER53" s="110">
        <f t="shared" si="77"/>
        <v>5.0655358516904656E-2</v>
      </c>
      <c r="ES53" s="110">
        <f t="shared" si="77"/>
        <v>1.0336262800299794E-2</v>
      </c>
      <c r="ET53" s="110">
        <f t="shared" si="77"/>
        <v>0.12151567482542922</v>
      </c>
      <c r="EU53" s="110">
        <f t="shared" si="77"/>
        <v>4.7704538991926553E-3</v>
      </c>
      <c r="EV53" s="110">
        <f t="shared" si="77"/>
        <v>2.0190488414634375E-2</v>
      </c>
      <c r="EW53" s="110">
        <f t="shared" si="77"/>
        <v>0.73932301276323364</v>
      </c>
      <c r="EX53" s="113">
        <f t="shared" si="48"/>
        <v>0.99999999999999989</v>
      </c>
      <c r="EY53" s="114"/>
      <c r="EZ53" s="105">
        <f>SUM(EZ5:EZ52)</f>
        <v>1273.2780000000002</v>
      </c>
      <c r="FA53" s="105">
        <f>SUM(FA5:FA52)</f>
        <v>1800.896</v>
      </c>
      <c r="FB53" s="105">
        <f>SUM(FB5:FB52)</f>
        <v>3074.1739999999986</v>
      </c>
      <c r="FC53" s="117"/>
      <c r="FD53" s="104">
        <f>SUM(FD5:FD52)</f>
        <v>558.73699999999997</v>
      </c>
      <c r="FE53" s="104">
        <f>SUM(FE5:FE52)</f>
        <v>622.80999999999983</v>
      </c>
      <c r="FF53" s="104">
        <f>SUM(FF5:FF52)</f>
        <v>1181.547</v>
      </c>
      <c r="FG53" s="117"/>
      <c r="FH53" s="104">
        <f>SUM(FH5:FH52)</f>
        <v>192252.59599999999</v>
      </c>
      <c r="FI53" s="104">
        <f>SUM(FI5:FI52)</f>
        <v>69500.355000000025</v>
      </c>
      <c r="FJ53" s="104">
        <f>SUM(FJ5:FJ52)</f>
        <v>261752.95099999997</v>
      </c>
      <c r="FK53" s="117"/>
      <c r="FL53" s="110">
        <f>FH53/FJ53</f>
        <v>0.7344811023735125</v>
      </c>
      <c r="FM53" s="110">
        <f>FI53/FJ53</f>
        <v>0.26551889762648762</v>
      </c>
      <c r="FN53" s="111">
        <f t="shared" si="55"/>
        <v>1</v>
      </c>
      <c r="FO53" s="114"/>
      <c r="FP53" s="104">
        <f>SUM(FP5:FP52)</f>
        <v>39053.836500000005</v>
      </c>
      <c r="FQ53" s="104">
        <f>SUM(FQ5:FQ52)</f>
        <v>37058.869000000006</v>
      </c>
      <c r="FR53" s="104">
        <f>SUM(FR5:FR52)</f>
        <v>41048.803999999996</v>
      </c>
      <c r="FS53" s="117"/>
      <c r="FT53" s="104">
        <f>SUM(FT5:FT52)</f>
        <v>253515.26049999997</v>
      </c>
      <c r="FU53" s="104">
        <f>SUM(FU5:FU52)</f>
        <v>245277.57000000007</v>
      </c>
      <c r="FV53" s="104">
        <f>SUM(FV5:FV52)</f>
        <v>261752.95099999997</v>
      </c>
      <c r="FW53" s="117"/>
      <c r="FX53" s="104">
        <f>SUM(FX5:FX52)</f>
        <v>87340.299999999974</v>
      </c>
      <c r="FY53" s="104">
        <f>SUM(FY5:FY52)</f>
        <v>84833.137000000017</v>
      </c>
      <c r="FZ53" s="104">
        <f>SUM(FZ5:FZ52)</f>
        <v>89847.463000000003</v>
      </c>
      <c r="GA53" s="117"/>
      <c r="GB53" s="104">
        <f>SUM(GB5:GB52)</f>
        <v>340855.56050000008</v>
      </c>
      <c r="GC53" s="104">
        <f>SUM(GC5:GC52)</f>
        <v>330110.70699999988</v>
      </c>
      <c r="GD53" s="104">
        <f>SUM(GD5:GD52)</f>
        <v>351600.41400000005</v>
      </c>
      <c r="GE53" s="117"/>
      <c r="GF53" s="104">
        <f>SUM(GF5:GF52)</f>
        <v>219726.16149999999</v>
      </c>
      <c r="GG53" s="104">
        <f>SUM(GG5:GG52)</f>
        <v>216068.26499999998</v>
      </c>
      <c r="GH53" s="104">
        <f>SUM(GH5:GH52)</f>
        <v>223384.05800000005</v>
      </c>
      <c r="GI53" s="104"/>
      <c r="GJ53" s="104">
        <f>SUM(GJ5:GJ52)</f>
        <v>318051.14799999999</v>
      </c>
      <c r="GK53" s="104">
        <f>SUM(GK5:GK52)</f>
        <v>310616.29799999984</v>
      </c>
      <c r="GL53" s="104">
        <f>SUM(GL5:GL52)</f>
        <v>325485.99800000002</v>
      </c>
      <c r="GM53" s="104"/>
      <c r="GN53" s="118">
        <f t="shared" si="68"/>
        <v>0.48124516557544805</v>
      </c>
    </row>
    <row r="54" spans="2:198" s="1" customFormat="1" ht="13.5" customHeight="1" x14ac:dyDescent="0.2">
      <c r="C54" s="86"/>
      <c r="D54" s="87"/>
      <c r="E54" s="86"/>
      <c r="F54" s="86"/>
      <c r="G54" s="86"/>
      <c r="H54" s="86"/>
      <c r="I54" s="86"/>
      <c r="K54" s="88"/>
      <c r="L54" s="88"/>
      <c r="M54" s="88"/>
      <c r="N54" s="86"/>
      <c r="O54" s="88"/>
      <c r="P54" s="86"/>
      <c r="Q54" s="88"/>
      <c r="R54" s="86"/>
      <c r="S54" s="88"/>
      <c r="T54" s="88"/>
      <c r="U54" s="88"/>
      <c r="V54" s="88"/>
      <c r="W54" s="88"/>
      <c r="X54" s="88"/>
      <c r="Z54" s="11"/>
      <c r="AA54" s="11"/>
      <c r="AB54" s="85"/>
      <c r="AC54" s="85"/>
      <c r="AD54" s="85"/>
      <c r="AE54" s="89"/>
      <c r="AF54" s="89"/>
      <c r="AG54" s="89"/>
      <c r="AH54" s="89"/>
      <c r="AI54" s="89"/>
      <c r="AJ54" s="90"/>
      <c r="AL54" s="85"/>
      <c r="AM54" s="85"/>
      <c r="AN54" s="85"/>
      <c r="AP54" s="85"/>
      <c r="AQ54" s="85"/>
      <c r="AR54" s="85"/>
      <c r="AS54" s="85"/>
      <c r="AT54" s="85"/>
      <c r="AU54" s="85"/>
      <c r="AV54" s="85"/>
      <c r="AX54" s="11"/>
      <c r="AY54" s="40"/>
      <c r="AZ54" s="11"/>
      <c r="BA54" s="11"/>
      <c r="BB54" s="11"/>
      <c r="BD54" s="85"/>
      <c r="BE54" s="85"/>
      <c r="BF54" s="85"/>
      <c r="BG54" s="6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W54" s="11"/>
      <c r="BX54" s="11"/>
      <c r="BY54" s="11"/>
      <c r="BZ54" s="11"/>
      <c r="CA54" s="11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E54" s="6"/>
      <c r="DF54" s="6"/>
      <c r="DG54" s="6"/>
      <c r="DH54" s="6"/>
      <c r="DI54" s="6"/>
      <c r="DJ54" s="6"/>
      <c r="DK54" s="6"/>
      <c r="DM54" s="63"/>
      <c r="DS54" s="9"/>
      <c r="DV54" s="33"/>
      <c r="DW54" s="8"/>
      <c r="DX54" s="86"/>
      <c r="DY54" s="86"/>
      <c r="DZ54" s="86"/>
      <c r="EA54" s="86"/>
      <c r="EB54" s="86"/>
      <c r="EC54" s="86"/>
      <c r="ED54" s="86"/>
      <c r="EE54" s="86"/>
      <c r="EF54" s="33"/>
      <c r="EG54" s="33"/>
      <c r="EH54" s="33"/>
      <c r="EI54" s="33"/>
      <c r="EJ54" s="33"/>
      <c r="EK54" s="33"/>
      <c r="EL54" s="33"/>
      <c r="EM54" s="33"/>
      <c r="EN54" s="33"/>
      <c r="EZ54" s="88"/>
      <c r="FA54" s="88"/>
      <c r="FB54" s="88"/>
      <c r="FD54" s="86"/>
      <c r="FE54" s="86"/>
      <c r="FF54" s="86"/>
      <c r="FH54" s="86"/>
      <c r="FI54" s="86"/>
      <c r="FJ54" s="86"/>
      <c r="FL54" s="85"/>
      <c r="FM54" s="85"/>
      <c r="FN54" s="91"/>
      <c r="FP54" s="86"/>
      <c r="FQ54" s="86"/>
      <c r="FR54" s="86"/>
      <c r="FT54" s="86"/>
      <c r="FU54" s="86"/>
      <c r="FV54" s="86"/>
      <c r="FX54" s="86"/>
      <c r="FY54" s="86"/>
      <c r="FZ54" s="86"/>
      <c r="GF54" s="86"/>
      <c r="GG54" s="86"/>
      <c r="GH54" s="86"/>
      <c r="GJ54" s="86"/>
      <c r="GK54" s="86"/>
      <c r="GL54" s="86"/>
      <c r="GN54" s="85"/>
    </row>
    <row r="55" spans="2:198" s="1" customFormat="1" ht="13.5" customHeight="1" x14ac:dyDescent="0.2">
      <c r="C55" s="87"/>
      <c r="D55" s="87"/>
      <c r="E55" s="87"/>
      <c r="F55" s="87"/>
      <c r="G55" s="87"/>
      <c r="H55" s="87"/>
      <c r="I55" s="87"/>
      <c r="K55" s="87"/>
      <c r="L55" s="87"/>
      <c r="M55" s="87"/>
      <c r="O55" s="87"/>
      <c r="Q55" s="87"/>
      <c r="S55" s="87"/>
      <c r="T55" s="87"/>
      <c r="U55" s="87"/>
      <c r="V55" s="87"/>
      <c r="W55" s="87"/>
      <c r="X55" s="87"/>
      <c r="Z55" s="87"/>
      <c r="AA55" s="87"/>
      <c r="AB55" s="87"/>
      <c r="AC55" s="87"/>
      <c r="AD55" s="87"/>
      <c r="AE55" s="87"/>
      <c r="AF55" s="92"/>
      <c r="AG55" s="87"/>
      <c r="AJ55" s="87"/>
      <c r="AL55" s="87"/>
      <c r="AM55" s="87"/>
      <c r="AN55" s="87"/>
      <c r="AP55" s="87"/>
      <c r="AQ55" s="87"/>
      <c r="AR55" s="87"/>
      <c r="AS55" s="87"/>
      <c r="AT55" s="87"/>
      <c r="AX55" s="87"/>
      <c r="AZ55" s="87"/>
      <c r="BA55" s="87"/>
      <c r="BB55" s="87"/>
      <c r="BW55" s="87"/>
      <c r="BY55" s="92"/>
      <c r="BZ55" s="87"/>
      <c r="CA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K55" s="4"/>
      <c r="DL55" s="93"/>
      <c r="DW55" s="8"/>
      <c r="DX55" s="87"/>
      <c r="DY55" s="87"/>
      <c r="DZ55" s="87"/>
      <c r="EC55" s="87"/>
      <c r="ED55" s="87"/>
      <c r="EZ55" s="87"/>
      <c r="FA55" s="87"/>
      <c r="FB55" s="94"/>
      <c r="FD55" s="87"/>
      <c r="FE55" s="87"/>
      <c r="FH55" s="87"/>
      <c r="FI55" s="87"/>
      <c r="FJ55" s="87"/>
      <c r="FN55" s="93"/>
      <c r="FQ55" s="87"/>
      <c r="FR55" s="87"/>
      <c r="FU55" s="87"/>
      <c r="FV55" s="87"/>
      <c r="FY55" s="87"/>
      <c r="FZ55" s="87"/>
      <c r="GG55" s="87"/>
      <c r="GH55" s="87"/>
      <c r="GK55" s="87"/>
      <c r="GL55" s="87"/>
      <c r="GN55" s="87"/>
    </row>
    <row r="56" spans="2:198" s="1" customFormat="1" ht="13.5" customHeight="1" x14ac:dyDescent="0.2">
      <c r="B56" s="10" t="s">
        <v>225</v>
      </c>
      <c r="F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E56" s="96"/>
      <c r="DF56" s="9"/>
      <c r="DG56" s="9"/>
      <c r="DH56" s="9"/>
      <c r="DI56" s="9"/>
      <c r="DJ56" s="9"/>
      <c r="DK56" s="9"/>
      <c r="DW56" s="8"/>
      <c r="DX56" s="86"/>
      <c r="DY56" s="86"/>
      <c r="DZ56" s="86"/>
      <c r="EB56" s="86"/>
      <c r="EC56" s="86"/>
      <c r="ED56" s="86"/>
      <c r="FB56" s="81"/>
      <c r="FH56" s="86"/>
      <c r="FI56" s="86"/>
      <c r="FJ56" s="86"/>
      <c r="FN56" s="93"/>
      <c r="FV56" s="97"/>
      <c r="FZ56" s="86"/>
    </row>
    <row r="57" spans="2:198" s="1" customFormat="1" x14ac:dyDescent="0.2">
      <c r="B57" s="98" t="s">
        <v>226</v>
      </c>
      <c r="DJ57" s="99"/>
      <c r="DW57" s="8"/>
      <c r="FB57" s="81"/>
    </row>
    <row r="58" spans="2:198" s="1" customFormat="1" x14ac:dyDescent="0.2">
      <c r="B58" s="100"/>
      <c r="D58" s="4"/>
      <c r="DW58" s="8"/>
    </row>
    <row r="59" spans="2:198" x14ac:dyDescent="0.2">
      <c r="B59" s="98"/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695E7BB6A7DC448166D51D58B8927A" ma:contentTypeVersion="12" ma:contentTypeDescription="Opprett et nytt dokument." ma:contentTypeScope="" ma:versionID="ebd9784f12068c9c60411150564e847f">
  <xsd:schema xmlns:xsd="http://www.w3.org/2001/XMLSchema" xmlns:xs="http://www.w3.org/2001/XMLSchema" xmlns:p="http://schemas.microsoft.com/office/2006/metadata/properties" xmlns:ns2="edad25e2-8650-4926-b9c1-384e251e3357" xmlns:ns3="fb01cd13-81db-4f45-a94a-b394074e628f" targetNamespace="http://schemas.microsoft.com/office/2006/metadata/properties" ma:root="true" ma:fieldsID="ad828e7fdb3205dc1e6b8a5c53924f23" ns2:_="" ns3:_="">
    <xsd:import namespace="edad25e2-8650-4926-b9c1-384e251e3357"/>
    <xsd:import namespace="fb01cd13-81db-4f45-a94a-b394074e62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d25e2-8650-4926-b9c1-384e251e33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06604d7d-b179-40e3-9457-2227251b16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1cd13-81db-4f45-a94a-b394074e62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1fb15498-ede1-4023-840c-6f122ae772d9}" ma:internalName="TaxCatchAll" ma:showField="CatchAllData" ma:web="fb01cd13-81db-4f45-a94a-b394074e62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dad25e2-8650-4926-b9c1-384e251e3357">
      <Terms xmlns="http://schemas.microsoft.com/office/infopath/2007/PartnerControls"/>
    </lcf76f155ced4ddcb4097134ff3c332f>
    <TaxCatchAll xmlns="fb01cd13-81db-4f45-a94a-b394074e628f" xsi:nil="true"/>
  </documentManagement>
</p:properties>
</file>

<file path=customXml/itemProps1.xml><?xml version="1.0" encoding="utf-8"?>
<ds:datastoreItem xmlns:ds="http://schemas.openxmlformats.org/officeDocument/2006/customXml" ds:itemID="{C3CA7DF5-129E-408C-92CF-123743F1DB0D}"/>
</file>

<file path=customXml/itemProps2.xml><?xml version="1.0" encoding="utf-8"?>
<ds:datastoreItem xmlns:ds="http://schemas.openxmlformats.org/officeDocument/2006/customXml" ds:itemID="{44DD88FB-AAFF-44A7-9902-F54EE3383056}"/>
</file>

<file path=customXml/itemProps3.xml><?xml version="1.0" encoding="utf-8"?>
<ds:datastoreItem xmlns:ds="http://schemas.openxmlformats.org/officeDocument/2006/customXml" ds:itemID="{2313113E-B400-44F1-8BB2-FB4562EDBD7E}"/>
</file>

<file path=docMetadata/LabelInfo.xml><?xml version="1.0" encoding="utf-8"?>
<clbl:labelList xmlns:clbl="http://schemas.microsoft.com/office/2020/mipLabelMetadata">
  <clbl:label id="{210f7242-1640-41a4-9c4f-28b1303f2cda}" enabled="0" method="" siteId="{210f7242-1640-41a4-9c4f-28b1303f2cd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Eika and LBA-banks 1H23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Sandem</dc:creator>
  <cp:lastModifiedBy>Magnus Sandem</cp:lastModifiedBy>
  <dcterms:created xsi:type="dcterms:W3CDTF">2023-11-08T08:48:23Z</dcterms:created>
  <dcterms:modified xsi:type="dcterms:W3CDTF">2023-11-08T08:55:48Z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0x01010040695E7BB6A7DC448166D51D58B8927A</vt:lpwstr>
  </property>
</Properties>
</file>